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教学\Renewable Energy\5 Solar Electricity\"/>
    </mc:Choice>
  </mc:AlternateContent>
  <xr:revisionPtr revIDLastSave="0" documentId="13_ncr:1_{2CB1D574-F684-47BC-9037-0AE07D2866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nPath__30.4277547_-9.5981072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4" i="1" l="1"/>
  <c r="O25" i="1"/>
  <c r="M25" i="1"/>
  <c r="M66" i="1" l="1"/>
  <c r="O39" i="1"/>
  <c r="M15" i="1"/>
  <c r="M67" i="1" l="1"/>
  <c r="M5" i="1"/>
  <c r="M6" i="1" s="1"/>
  <c r="M7" i="1" s="1"/>
  <c r="M12" i="1" l="1"/>
  <c r="M13" i="1" s="1"/>
  <c r="M20" i="1"/>
  <c r="M65" i="1"/>
  <c r="M58" i="1"/>
  <c r="M59" i="1" s="1"/>
  <c r="P53" i="1" l="1"/>
  <c r="M51" i="1"/>
  <c r="M53" i="1" s="1"/>
  <c r="M48" i="1"/>
  <c r="O40" i="1"/>
  <c r="M29" i="1"/>
  <c r="Q25" i="1"/>
  <c r="Q26" i="1" s="1"/>
  <c r="O26" i="1" s="1"/>
  <c r="M26" i="1" s="1"/>
  <c r="I85" i="1"/>
  <c r="E12" i="1"/>
  <c r="E76" i="1"/>
  <c r="G76" i="1" s="1"/>
  <c r="I76" i="1" s="1"/>
  <c r="D11" i="1"/>
  <c r="E11" i="1" s="1"/>
  <c r="G11" i="1" s="1"/>
  <c r="D12" i="1"/>
  <c r="D13" i="1"/>
  <c r="E13" i="1" s="1"/>
  <c r="G13" i="1" s="1"/>
  <c r="D14" i="1"/>
  <c r="E14" i="1" s="1"/>
  <c r="G14" i="1" s="1"/>
  <c r="D15" i="1"/>
  <c r="E15" i="1" s="1"/>
  <c r="D16" i="1"/>
  <c r="E16" i="1" s="1"/>
  <c r="G16" i="1" s="1"/>
  <c r="D17" i="1"/>
  <c r="E17" i="1" s="1"/>
  <c r="G17" i="1" s="1"/>
  <c r="D18" i="1"/>
  <c r="E18" i="1" s="1"/>
  <c r="G18" i="1" s="1"/>
  <c r="D19" i="1"/>
  <c r="E19" i="1" s="1"/>
  <c r="D20" i="1"/>
  <c r="E20" i="1" s="1"/>
  <c r="G20" i="1" s="1"/>
  <c r="D21" i="1"/>
  <c r="E21" i="1" s="1"/>
  <c r="G21" i="1" s="1"/>
  <c r="D22" i="1"/>
  <c r="E22" i="1" s="1"/>
  <c r="G22" i="1" s="1"/>
  <c r="D23" i="1"/>
  <c r="E23" i="1" s="1"/>
  <c r="G23" i="1" s="1"/>
  <c r="D24" i="1"/>
  <c r="E24" i="1" s="1"/>
  <c r="G24" i="1" s="1"/>
  <c r="D25" i="1"/>
  <c r="E25" i="1" s="1"/>
  <c r="G25" i="1" s="1"/>
  <c r="D26" i="1"/>
  <c r="E26" i="1" s="1"/>
  <c r="G26" i="1" s="1"/>
  <c r="D27" i="1"/>
  <c r="E27" i="1" s="1"/>
  <c r="D28" i="1"/>
  <c r="E28" i="1" s="1"/>
  <c r="G28" i="1" s="1"/>
  <c r="D29" i="1"/>
  <c r="E29" i="1" s="1"/>
  <c r="G29" i="1" s="1"/>
  <c r="D30" i="1"/>
  <c r="E30" i="1" s="1"/>
  <c r="G30" i="1" s="1"/>
  <c r="D31" i="1"/>
  <c r="E31" i="1" s="1"/>
  <c r="D32" i="1"/>
  <c r="E32" i="1" s="1"/>
  <c r="G32" i="1" s="1"/>
  <c r="D33" i="1"/>
  <c r="E33" i="1" s="1"/>
  <c r="G33" i="1" s="1"/>
  <c r="D34" i="1"/>
  <c r="E34" i="1" s="1"/>
  <c r="G34" i="1" s="1"/>
  <c r="D35" i="1"/>
  <c r="E35" i="1" s="1"/>
  <c r="D36" i="1"/>
  <c r="E36" i="1" s="1"/>
  <c r="G36" i="1" s="1"/>
  <c r="D37" i="1"/>
  <c r="E37" i="1" s="1"/>
  <c r="G37" i="1" s="1"/>
  <c r="D38" i="1"/>
  <c r="E38" i="1" s="1"/>
  <c r="G38" i="1" s="1"/>
  <c r="D39" i="1"/>
  <c r="E39" i="1" s="1"/>
  <c r="G39" i="1" s="1"/>
  <c r="D40" i="1"/>
  <c r="E40" i="1" s="1"/>
  <c r="G40" i="1" s="1"/>
  <c r="D41" i="1"/>
  <c r="E41" i="1" s="1"/>
  <c r="D42" i="1"/>
  <c r="E42" i="1" s="1"/>
  <c r="G42" i="1" s="1"/>
  <c r="D43" i="1"/>
  <c r="E43" i="1" s="1"/>
  <c r="D44" i="1"/>
  <c r="E44" i="1" s="1"/>
  <c r="G44" i="1" s="1"/>
  <c r="I44" i="1" s="1"/>
  <c r="D45" i="1"/>
  <c r="E45" i="1" s="1"/>
  <c r="G45" i="1" s="1"/>
  <c r="D46" i="1"/>
  <c r="E46" i="1" s="1"/>
  <c r="G46" i="1" s="1"/>
  <c r="D47" i="1"/>
  <c r="E47" i="1" s="1"/>
  <c r="D48" i="1"/>
  <c r="E48" i="1" s="1"/>
  <c r="G48" i="1" s="1"/>
  <c r="I48" i="1" s="1"/>
  <c r="D49" i="1"/>
  <c r="E49" i="1" s="1"/>
  <c r="G49" i="1" s="1"/>
  <c r="D50" i="1"/>
  <c r="E50" i="1" s="1"/>
  <c r="G50" i="1" s="1"/>
  <c r="D51" i="1"/>
  <c r="E51" i="1" s="1"/>
  <c r="D52" i="1"/>
  <c r="E52" i="1" s="1"/>
  <c r="G52" i="1" s="1"/>
  <c r="I52" i="1" s="1"/>
  <c r="D53" i="1"/>
  <c r="E53" i="1" s="1"/>
  <c r="G53" i="1" s="1"/>
  <c r="D54" i="1"/>
  <c r="E54" i="1" s="1"/>
  <c r="G54" i="1" s="1"/>
  <c r="D55" i="1"/>
  <c r="E55" i="1" s="1"/>
  <c r="G55" i="1" s="1"/>
  <c r="D56" i="1"/>
  <c r="E56" i="1" s="1"/>
  <c r="G56" i="1" s="1"/>
  <c r="D57" i="1"/>
  <c r="E57" i="1" s="1"/>
  <c r="G57" i="1" s="1"/>
  <c r="D58" i="1"/>
  <c r="E58" i="1" s="1"/>
  <c r="G58" i="1" s="1"/>
  <c r="D59" i="1"/>
  <c r="E59" i="1" s="1"/>
  <c r="D60" i="1"/>
  <c r="E60" i="1" s="1"/>
  <c r="G60" i="1" s="1"/>
  <c r="I60" i="1" s="1"/>
  <c r="D61" i="1"/>
  <c r="E61" i="1" s="1"/>
  <c r="G61" i="1" s="1"/>
  <c r="D62" i="1"/>
  <c r="E62" i="1" s="1"/>
  <c r="G62" i="1" s="1"/>
  <c r="D63" i="1"/>
  <c r="E63" i="1" s="1"/>
  <c r="D64" i="1"/>
  <c r="E64" i="1" s="1"/>
  <c r="G64" i="1" s="1"/>
  <c r="I64" i="1" s="1"/>
  <c r="D65" i="1"/>
  <c r="E65" i="1" s="1"/>
  <c r="G65" i="1" s="1"/>
  <c r="D66" i="1"/>
  <c r="E66" i="1" s="1"/>
  <c r="G66" i="1" s="1"/>
  <c r="D67" i="1"/>
  <c r="E67" i="1" s="1"/>
  <c r="D68" i="1"/>
  <c r="E68" i="1" s="1"/>
  <c r="G68" i="1" s="1"/>
  <c r="D69" i="1"/>
  <c r="E69" i="1" s="1"/>
  <c r="G69" i="1" s="1"/>
  <c r="D70" i="1"/>
  <c r="E70" i="1" s="1"/>
  <c r="G70" i="1" s="1"/>
  <c r="D71" i="1"/>
  <c r="E71" i="1" s="1"/>
  <c r="D72" i="1"/>
  <c r="E72" i="1" s="1"/>
  <c r="G72" i="1" s="1"/>
  <c r="I72" i="1" s="1"/>
  <c r="D73" i="1"/>
  <c r="E73" i="1" s="1"/>
  <c r="G73" i="1" s="1"/>
  <c r="D74" i="1"/>
  <c r="E74" i="1" s="1"/>
  <c r="G74" i="1" s="1"/>
  <c r="D75" i="1"/>
  <c r="E75" i="1" s="1"/>
  <c r="G75" i="1" s="1"/>
  <c r="D76" i="1"/>
  <c r="D77" i="1"/>
  <c r="E77" i="1" s="1"/>
  <c r="G77" i="1" s="1"/>
  <c r="D78" i="1"/>
  <c r="E78" i="1" s="1"/>
  <c r="G78" i="1" s="1"/>
  <c r="D79" i="1"/>
  <c r="E79" i="1" s="1"/>
  <c r="D80" i="1"/>
  <c r="E80" i="1" s="1"/>
  <c r="G80" i="1" s="1"/>
  <c r="I80" i="1" s="1"/>
  <c r="D81" i="1"/>
  <c r="E81" i="1" s="1"/>
  <c r="G81" i="1" s="1"/>
  <c r="D82" i="1"/>
  <c r="E82" i="1" s="1"/>
  <c r="G82" i="1" s="1"/>
  <c r="D83" i="1"/>
  <c r="E83" i="1" s="1"/>
  <c r="D84" i="1"/>
  <c r="E84" i="1" s="1"/>
  <c r="G84" i="1" s="1"/>
  <c r="I84" i="1" s="1"/>
  <c r="D85" i="1"/>
  <c r="H85" i="1" s="1"/>
  <c r="J85" i="1" s="1"/>
  <c r="G41" i="1"/>
  <c r="M28" i="1"/>
  <c r="M22" i="1"/>
  <c r="M23" i="1" s="1"/>
  <c r="D10" i="1"/>
  <c r="G35" i="1" l="1"/>
  <c r="M41" i="1"/>
  <c r="M31" i="1"/>
  <c r="M38" i="1"/>
  <c r="G12" i="1"/>
  <c r="M40" i="1"/>
  <c r="I11" i="1"/>
  <c r="H11" i="1"/>
  <c r="J11" i="1" s="1"/>
  <c r="M54" i="1"/>
  <c r="O51" i="1"/>
  <c r="O53" i="1"/>
  <c r="I56" i="1"/>
  <c r="H56" i="1"/>
  <c r="J56" i="1" s="1"/>
  <c r="H10" i="1"/>
  <c r="J10" i="1" s="1"/>
  <c r="E10" i="1"/>
  <c r="H72" i="1"/>
  <c r="J72" i="1" s="1"/>
  <c r="I68" i="1"/>
  <c r="H68" i="1"/>
  <c r="J68" i="1" s="1"/>
  <c r="I36" i="1"/>
  <c r="H36" i="1"/>
  <c r="J36" i="1" s="1"/>
  <c r="I54" i="1"/>
  <c r="H54" i="1"/>
  <c r="J54" i="1" s="1"/>
  <c r="I73" i="1"/>
  <c r="H73" i="1"/>
  <c r="J73" i="1" s="1"/>
  <c r="I35" i="1"/>
  <c r="H35" i="1"/>
  <c r="J35" i="1" s="1"/>
  <c r="G83" i="1"/>
  <c r="G71" i="1"/>
  <c r="G47" i="1"/>
  <c r="G27" i="1"/>
  <c r="M21" i="1"/>
  <c r="I16" i="1"/>
  <c r="H16" i="1"/>
  <c r="J16" i="1" s="1"/>
  <c r="G19" i="1"/>
  <c r="I74" i="1"/>
  <c r="H74" i="1"/>
  <c r="J74" i="1" s="1"/>
  <c r="I62" i="1"/>
  <c r="H62" i="1"/>
  <c r="J62" i="1" s="1"/>
  <c r="I58" i="1"/>
  <c r="H58" i="1"/>
  <c r="J58" i="1" s="1"/>
  <c r="I50" i="1"/>
  <c r="H50" i="1"/>
  <c r="J50" i="1" s="1"/>
  <c r="I46" i="1"/>
  <c r="H46" i="1"/>
  <c r="J46" i="1" s="1"/>
  <c r="I42" i="1"/>
  <c r="H42" i="1"/>
  <c r="J42" i="1" s="1"/>
  <c r="I38" i="1"/>
  <c r="H38" i="1"/>
  <c r="J38" i="1" s="1"/>
  <c r="I34" i="1"/>
  <c r="H34" i="1"/>
  <c r="J34" i="1" s="1"/>
  <c r="I30" i="1"/>
  <c r="H30" i="1"/>
  <c r="J30" i="1" s="1"/>
  <c r="I26" i="1"/>
  <c r="H26" i="1"/>
  <c r="J26" i="1" s="1"/>
  <c r="I18" i="1"/>
  <c r="H18" i="1"/>
  <c r="J18" i="1" s="1"/>
  <c r="I14" i="1"/>
  <c r="H14" i="1"/>
  <c r="J14" i="1" s="1"/>
  <c r="I32" i="1"/>
  <c r="H32" i="1"/>
  <c r="J32" i="1" s="1"/>
  <c r="H84" i="1"/>
  <c r="J84" i="1" s="1"/>
  <c r="H52" i="1"/>
  <c r="J52" i="1" s="1"/>
  <c r="I75" i="1"/>
  <c r="H75" i="1"/>
  <c r="J75" i="1" s="1"/>
  <c r="I55" i="1"/>
  <c r="H55" i="1"/>
  <c r="J55" i="1" s="1"/>
  <c r="I39" i="1"/>
  <c r="H39" i="1"/>
  <c r="J39" i="1" s="1"/>
  <c r="I23" i="1"/>
  <c r="H23" i="1"/>
  <c r="J23" i="1" s="1"/>
  <c r="G15" i="1"/>
  <c r="I82" i="1"/>
  <c r="H82" i="1"/>
  <c r="J82" i="1" s="1"/>
  <c r="I70" i="1"/>
  <c r="H70" i="1"/>
  <c r="J70" i="1" s="1"/>
  <c r="I81" i="1"/>
  <c r="H81" i="1"/>
  <c r="J81" i="1" s="1"/>
  <c r="I69" i="1"/>
  <c r="H69" i="1"/>
  <c r="J69" i="1" s="1"/>
  <c r="I61" i="1"/>
  <c r="H61" i="1"/>
  <c r="J61" i="1" s="1"/>
  <c r="I53" i="1"/>
  <c r="H53" i="1"/>
  <c r="J53" i="1" s="1"/>
  <c r="I45" i="1"/>
  <c r="H45" i="1"/>
  <c r="J45" i="1" s="1"/>
  <c r="I33" i="1"/>
  <c r="H33" i="1"/>
  <c r="J33" i="1" s="1"/>
  <c r="I25" i="1"/>
  <c r="H25" i="1"/>
  <c r="J25" i="1" s="1"/>
  <c r="I17" i="1"/>
  <c r="H17" i="1"/>
  <c r="J17" i="1" s="1"/>
  <c r="I13" i="1"/>
  <c r="H13" i="1"/>
  <c r="J13" i="1" s="1"/>
  <c r="I12" i="1"/>
  <c r="H12" i="1"/>
  <c r="J12" i="1" s="1"/>
  <c r="H80" i="1"/>
  <c r="J80" i="1" s="1"/>
  <c r="H64" i="1"/>
  <c r="J64" i="1" s="1"/>
  <c r="H48" i="1"/>
  <c r="J48" i="1" s="1"/>
  <c r="I22" i="1"/>
  <c r="H22" i="1"/>
  <c r="J22" i="1" s="1"/>
  <c r="G67" i="1"/>
  <c r="G63" i="1"/>
  <c r="G51" i="1"/>
  <c r="G43" i="1"/>
  <c r="G31" i="1"/>
  <c r="I20" i="1"/>
  <c r="H20" i="1"/>
  <c r="J20" i="1" s="1"/>
  <c r="I41" i="1"/>
  <c r="H41" i="1"/>
  <c r="J41" i="1" s="1"/>
  <c r="I78" i="1"/>
  <c r="H78" i="1"/>
  <c r="J78" i="1" s="1"/>
  <c r="I66" i="1"/>
  <c r="H66" i="1"/>
  <c r="J66" i="1" s="1"/>
  <c r="G79" i="1"/>
  <c r="I77" i="1"/>
  <c r="H77" i="1"/>
  <c r="J77" i="1" s="1"/>
  <c r="I65" i="1"/>
  <c r="H65" i="1"/>
  <c r="J65" i="1" s="1"/>
  <c r="I57" i="1"/>
  <c r="H57" i="1"/>
  <c r="J57" i="1" s="1"/>
  <c r="I49" i="1"/>
  <c r="H49" i="1"/>
  <c r="J49" i="1" s="1"/>
  <c r="I37" i="1"/>
  <c r="H37" i="1"/>
  <c r="J37" i="1" s="1"/>
  <c r="I29" i="1"/>
  <c r="H29" i="1"/>
  <c r="J29" i="1" s="1"/>
  <c r="I21" i="1"/>
  <c r="H21" i="1"/>
  <c r="J21" i="1" s="1"/>
  <c r="I28" i="1"/>
  <c r="H28" i="1"/>
  <c r="J28" i="1" s="1"/>
  <c r="G59" i="1"/>
  <c r="I40" i="1"/>
  <c r="H40" i="1"/>
  <c r="J40" i="1" s="1"/>
  <c r="I24" i="1"/>
  <c r="H24" i="1"/>
  <c r="J24" i="1" s="1"/>
  <c r="H76" i="1"/>
  <c r="J76" i="1" s="1"/>
  <c r="H60" i="1"/>
  <c r="J60" i="1" s="1"/>
  <c r="H44" i="1"/>
  <c r="J44" i="1" s="1"/>
  <c r="E85" i="1"/>
  <c r="I51" i="1" l="1"/>
  <c r="H51" i="1"/>
  <c r="J51" i="1" s="1"/>
  <c r="I79" i="1"/>
  <c r="H79" i="1"/>
  <c r="J79" i="1" s="1"/>
  <c r="I63" i="1"/>
  <c r="H63" i="1"/>
  <c r="J63" i="1" s="1"/>
  <c r="I43" i="1"/>
  <c r="H43" i="1"/>
  <c r="J43" i="1" s="1"/>
  <c r="I19" i="1"/>
  <c r="H19" i="1"/>
  <c r="J19" i="1" s="1"/>
  <c r="I47" i="1"/>
  <c r="H47" i="1"/>
  <c r="J47" i="1" s="1"/>
  <c r="I83" i="1"/>
  <c r="H83" i="1"/>
  <c r="J83" i="1" s="1"/>
  <c r="I67" i="1"/>
  <c r="H67" i="1"/>
  <c r="J67" i="1" s="1"/>
  <c r="I71" i="1"/>
  <c r="H71" i="1"/>
  <c r="J71" i="1" s="1"/>
  <c r="I59" i="1"/>
  <c r="H59" i="1"/>
  <c r="J59" i="1" s="1"/>
  <c r="I31" i="1"/>
  <c r="H31" i="1"/>
  <c r="J31" i="1" s="1"/>
  <c r="I15" i="1"/>
  <c r="H15" i="1"/>
  <c r="J15" i="1" s="1"/>
  <c r="N4" i="1" s="1"/>
  <c r="I27" i="1"/>
  <c r="H27" i="1"/>
  <c r="J27" i="1" s="1"/>
  <c r="N3" i="1" l="1"/>
  <c r="M45" i="1"/>
  <c r="M46" i="1" s="1"/>
  <c r="M49" i="1" s="1"/>
  <c r="M32" i="1"/>
  <c r="M33" i="1" s="1"/>
  <c r="M34" i="1" s="1"/>
  <c r="M60" i="1" l="1"/>
  <c r="M61" i="1" s="1"/>
  <c r="O61" i="1" s="1"/>
  <c r="M35" i="1"/>
  <c r="M37" i="1" s="1"/>
  <c r="M39" i="1" s="1"/>
  <c r="M55" i="1"/>
  <c r="M47" i="1"/>
  <c r="O47" i="1"/>
  <c r="O55" i="1" l="1"/>
  <c r="M56" i="1"/>
</calcChain>
</file>

<file path=xl/sharedStrings.xml><?xml version="1.0" encoding="utf-8"?>
<sst xmlns="http://schemas.openxmlformats.org/spreadsheetml/2006/main" count="133" uniqueCount="87">
  <si>
    <t>Datum:</t>
  </si>
  <si>
    <t>koordinieren:</t>
  </si>
  <si>
    <t>30.4277547, -9.5981072</t>
  </si>
  <si>
    <t>Stunde</t>
  </si>
  <si>
    <t>Elevation</t>
  </si>
  <si>
    <t>Azimuth</t>
  </si>
  <si>
    <t>Zenith</t>
  </si>
  <si>
    <t>I0</t>
  </si>
  <si>
    <t>kW/m2</t>
  </si>
  <si>
    <t>h</t>
  </si>
  <si>
    <t>km</t>
  </si>
  <si>
    <t>AM</t>
  </si>
  <si>
    <t>kWh/m2</t>
  </si>
  <si>
    <t>daily irradiance</t>
  </si>
  <si>
    <t>Ort: Agadir</t>
  </si>
  <si>
    <t>Imax</t>
  </si>
  <si>
    <t>AMmin</t>
  </si>
  <si>
    <t>Isolar input</t>
  </si>
  <si>
    <t>Solar impulse 1</t>
  </si>
  <si>
    <t>Solar impulse 2</t>
  </si>
  <si>
    <t>PV efficiency</t>
  </si>
  <si>
    <t>Area</t>
  </si>
  <si>
    <t>m2</t>
  </si>
  <si>
    <t>Peak power</t>
  </si>
  <si>
    <t>kWp</t>
  </si>
  <si>
    <t>Solar input</t>
  </si>
  <si>
    <t>%</t>
  </si>
  <si>
    <t>Exercice 1</t>
  </si>
  <si>
    <t>a)</t>
  </si>
  <si>
    <t>b)</t>
  </si>
  <si>
    <t>kW</t>
  </si>
  <si>
    <t>Engines</t>
  </si>
  <si>
    <t>Propulsion efficiency</t>
  </si>
  <si>
    <t>c)</t>
  </si>
  <si>
    <t>kWh</t>
  </si>
  <si>
    <t>Battery</t>
  </si>
  <si>
    <t>Day time</t>
  </si>
  <si>
    <t>min</t>
  </si>
  <si>
    <t>s</t>
  </si>
  <si>
    <t>I kW/m2</t>
  </si>
  <si>
    <t>day time in hours</t>
  </si>
  <si>
    <t>Time flight record</t>
  </si>
  <si>
    <t>Distance record</t>
  </si>
  <si>
    <t>Average speed</t>
  </si>
  <si>
    <t>daily PV</t>
  </si>
  <si>
    <t>daily irradiance on horizontal</t>
  </si>
  <si>
    <t>daily solas irradiance</t>
  </si>
  <si>
    <t>kWhe</t>
  </si>
  <si>
    <t>kWhm</t>
  </si>
  <si>
    <t>PV + battery</t>
  </si>
  <si>
    <t>Engines use</t>
  </si>
  <si>
    <t>Optimal motor use</t>
  </si>
  <si>
    <t xml:space="preserve">maximum power use </t>
  </si>
  <si>
    <t>optimum power use</t>
  </si>
  <si>
    <t>PV to battery</t>
  </si>
  <si>
    <t>Engine use</t>
  </si>
  <si>
    <t>Power consum/km</t>
  </si>
  <si>
    <t>kWh/km</t>
  </si>
  <si>
    <t>d)</t>
  </si>
  <si>
    <t xml:space="preserve">Optimal motor use </t>
  </si>
  <si>
    <t>Daily PV</t>
  </si>
  <si>
    <t>Daily PV to battery</t>
  </si>
  <si>
    <t>Flight time just PV</t>
  </si>
  <si>
    <t>Earth circumference</t>
  </si>
  <si>
    <t>Distance every trip</t>
  </si>
  <si>
    <t>km/h</t>
  </si>
  <si>
    <t>Time each trip</t>
  </si>
  <si>
    <t>days</t>
  </si>
  <si>
    <t>Comsumption per trip</t>
  </si>
  <si>
    <t>PV to battery per trip</t>
  </si>
  <si>
    <t>Total battery + PV</t>
  </si>
  <si>
    <t>5000km distance</t>
  </si>
  <si>
    <t>Consumption</t>
  </si>
  <si>
    <t>e)</t>
  </si>
  <si>
    <t>Specific consumption</t>
  </si>
  <si>
    <t>SI2</t>
  </si>
  <si>
    <t>SI1 speed</t>
  </si>
  <si>
    <t>time for 2000km</t>
  </si>
  <si>
    <t>specific consumption</t>
  </si>
  <si>
    <t>I kWh/m2</t>
  </si>
  <si>
    <t>I kWh/m2 horizontal</t>
  </si>
  <si>
    <t>I kW/m2 horizontal</t>
  </si>
  <si>
    <t>Daily PV to engine</t>
  </si>
  <si>
    <t>with battery to be charged</t>
  </si>
  <si>
    <t>max power trip consumption</t>
  </si>
  <si>
    <t>Total battery + PV to engine</t>
  </si>
  <si>
    <t>unused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</si>
</sst>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1499984740745262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21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16" fillId="0" borderId="0" xfId="0" applyFont="1"/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1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5"/>
  <sheetViews>
    <sheetView showGridLines="0" tabSelected="1" topLeftCell="A73" workbookViewId="0">
      <selection activeCell="N35" sqref="N35"/>
    </sheetView>
  </sheetViews>
  <sheetFormatPr defaultColWidth="9.140625" defaultRowHeight="15" x14ac:dyDescent="0.25"/>
  <cols>
    <col min="1" max="1" width="11.85546875" bestFit="1" customWidth="1"/>
    <col min="2" max="2" width="11" customWidth="1"/>
    <col min="3" max="3" width="9.7109375" customWidth="1"/>
    <col min="8" max="8" width="16.7109375" customWidth="1"/>
    <col min="10" max="10" width="19.5703125" customWidth="1"/>
    <col min="12" max="12" width="27.28515625" bestFit="1" customWidth="1"/>
    <col min="13" max="13" width="11.7109375" customWidth="1"/>
  </cols>
  <sheetData>
    <row r="1" spans="1:15" ht="14.45" customHeight="1" x14ac:dyDescent="0.25">
      <c r="A1" s="10" t="s">
        <v>0</v>
      </c>
      <c r="B1" s="11">
        <v>42458</v>
      </c>
      <c r="C1" s="11"/>
      <c r="F1" t="s">
        <v>7</v>
      </c>
      <c r="G1">
        <v>1.353</v>
      </c>
      <c r="I1" t="s">
        <v>8</v>
      </c>
      <c r="L1" s="5" t="s">
        <v>27</v>
      </c>
    </row>
    <row r="2" spans="1:15" ht="14.45" customHeight="1" x14ac:dyDescent="0.25">
      <c r="A2" s="10" t="s">
        <v>1</v>
      </c>
      <c r="B2" s="12" t="s">
        <v>2</v>
      </c>
      <c r="C2" s="12"/>
      <c r="F2" t="s">
        <v>9</v>
      </c>
      <c r="G2">
        <v>12</v>
      </c>
      <c r="I2" t="s">
        <v>10</v>
      </c>
      <c r="L2" s="5" t="s">
        <v>28</v>
      </c>
    </row>
    <row r="3" spans="1:15" x14ac:dyDescent="0.25">
      <c r="A3" s="1" t="s">
        <v>14</v>
      </c>
      <c r="B3" s="12"/>
      <c r="C3" s="12"/>
      <c r="L3" t="s">
        <v>13</v>
      </c>
      <c r="N3">
        <f>SUM(I10:I85)</f>
        <v>16.664464561459639</v>
      </c>
      <c r="O3" t="s">
        <v>12</v>
      </c>
    </row>
    <row r="4" spans="1:15" x14ac:dyDescent="0.25">
      <c r="A4" s="3"/>
      <c r="B4" s="3"/>
      <c r="C4" s="3"/>
      <c r="L4" t="s">
        <v>45</v>
      </c>
      <c r="N4">
        <f>SUM(J10:J85)</f>
        <v>9.5764583748112972</v>
      </c>
      <c r="O4" t="s">
        <v>12</v>
      </c>
    </row>
    <row r="5" spans="1:15" x14ac:dyDescent="0.25">
      <c r="A5" s="3"/>
      <c r="B5" s="3"/>
      <c r="C5" s="3"/>
      <c r="L5" t="s">
        <v>16</v>
      </c>
      <c r="M5">
        <f>1/(COS(PI()/180*0)+0.50572*(96.07995-0)^(-1.6364))</f>
        <v>0.99971199185583814</v>
      </c>
    </row>
    <row r="6" spans="1:15" x14ac:dyDescent="0.25">
      <c r="A6" s="3"/>
      <c r="B6" s="3"/>
      <c r="C6" s="3"/>
      <c r="L6" t="s">
        <v>15</v>
      </c>
      <c r="M6">
        <f>1.1*$G$1*((1-$G$2/15)*0.7^(M5^0.678)+$G$2/15)</f>
        <v>1.3990165131220089</v>
      </c>
      <c r="N6" t="s">
        <v>8</v>
      </c>
    </row>
    <row r="7" spans="1:15" x14ac:dyDescent="0.25">
      <c r="A7" s="3"/>
      <c r="B7" s="3"/>
      <c r="C7" s="3"/>
      <c r="L7" t="s">
        <v>17</v>
      </c>
      <c r="M7">
        <f>M6*0.9</f>
        <v>1.259114861809808</v>
      </c>
    </row>
    <row r="8" spans="1:15" x14ac:dyDescent="0.25">
      <c r="A8" s="3"/>
      <c r="B8" s="3"/>
      <c r="C8" s="3"/>
      <c r="L8" s="6" t="s">
        <v>29</v>
      </c>
    </row>
    <row r="9" spans="1:15" ht="13.9" customHeight="1" x14ac:dyDescent="0.25">
      <c r="A9" s="10" t="s">
        <v>3</v>
      </c>
      <c r="B9" s="10" t="s">
        <v>4</v>
      </c>
      <c r="C9" s="10" t="s">
        <v>5</v>
      </c>
      <c r="D9" s="3" t="s">
        <v>6</v>
      </c>
      <c r="E9" s="3" t="s">
        <v>11</v>
      </c>
      <c r="F9" s="7"/>
      <c r="G9" s="3" t="s">
        <v>39</v>
      </c>
      <c r="H9" s="3" t="s">
        <v>81</v>
      </c>
      <c r="I9" s="3" t="s">
        <v>79</v>
      </c>
      <c r="J9" s="3" t="s">
        <v>80</v>
      </c>
      <c r="L9" t="s">
        <v>18</v>
      </c>
    </row>
    <row r="10" spans="1:15" x14ac:dyDescent="0.25">
      <c r="A10" s="2">
        <v>0.271400462962963</v>
      </c>
      <c r="B10" s="10">
        <v>-0.83299999999999996</v>
      </c>
      <c r="C10" s="10">
        <v>85.36</v>
      </c>
      <c r="D10">
        <f>90-B10</f>
        <v>90.832999999999998</v>
      </c>
      <c r="E10">
        <f>1/(COS(PI()/180*D10)+0.50572*(96.07995-D10)^(-1.6364))</f>
        <v>52.563993328327221</v>
      </c>
      <c r="F10" s="8"/>
      <c r="G10">
        <v>0</v>
      </c>
      <c r="H10">
        <f>G10*COS(PI()/180*D10)</f>
        <v>0</v>
      </c>
      <c r="I10">
        <v>0</v>
      </c>
      <c r="J10">
        <f>H10*10/60</f>
        <v>0</v>
      </c>
      <c r="L10" t="s">
        <v>21</v>
      </c>
      <c r="M10">
        <v>200</v>
      </c>
      <c r="N10" t="s">
        <v>22</v>
      </c>
    </row>
    <row r="11" spans="1:15" x14ac:dyDescent="0.25">
      <c r="A11" s="2">
        <v>0.27777777777777779</v>
      </c>
      <c r="B11" s="10">
        <v>1.1399999999999999</v>
      </c>
      <c r="C11" s="10">
        <v>86.53</v>
      </c>
      <c r="D11">
        <f t="shared" ref="D11:D74" si="0">90-B11</f>
        <v>88.86</v>
      </c>
      <c r="E11">
        <f t="shared" ref="E11:E74" si="1">1/(COS(PI()/180*D11)+0.50572*(96.07995-D11)^(-1.6364))</f>
        <v>25.124117388469884</v>
      </c>
      <c r="F11" s="8"/>
      <c r="G11">
        <f>1.1*$G$1*((1-$G$2/15)*0.7^(E11^0.678)+$G$2/15)</f>
        <v>1.2030995018135893</v>
      </c>
      <c r="H11">
        <f>G11*COS(PI()/180*D11)</f>
        <v>2.3936194804490548E-2</v>
      </c>
      <c r="I11">
        <f>G11*10/60</f>
        <v>0.20051658363559824</v>
      </c>
      <c r="J11">
        <f>H11*10/60</f>
        <v>3.989365800748425E-3</v>
      </c>
      <c r="L11" t="s">
        <v>23</v>
      </c>
      <c r="M11">
        <v>45</v>
      </c>
      <c r="N11" t="s">
        <v>24</v>
      </c>
    </row>
    <row r="12" spans="1:15" x14ac:dyDescent="0.25">
      <c r="A12" s="2">
        <v>0.28472222222222221</v>
      </c>
      <c r="B12" s="10">
        <v>3.29</v>
      </c>
      <c r="C12" s="10">
        <v>87.79</v>
      </c>
      <c r="D12">
        <f t="shared" si="0"/>
        <v>86.71</v>
      </c>
      <c r="E12">
        <f t="shared" si="1"/>
        <v>14.207719378439428</v>
      </c>
      <c r="F12" s="8"/>
      <c r="G12">
        <f t="shared" ref="G12:G75" si="2">1.1*$G$1*((1-$G$2/15)*0.7^(E12^0.678)+$G$2/15)</f>
        <v>1.2250992100223324</v>
      </c>
      <c r="H12">
        <f t="shared" ref="H12:H74" si="3">G12*COS(PI()/180*D12)</f>
        <v>7.0308177285081458E-2</v>
      </c>
      <c r="I12">
        <f t="shared" ref="I12:I75" si="4">G12*10/60</f>
        <v>0.20418320167038873</v>
      </c>
      <c r="J12">
        <f t="shared" ref="J12:J74" si="5">H12*10/60</f>
        <v>1.1718029547513576E-2</v>
      </c>
      <c r="L12" t="s">
        <v>25</v>
      </c>
      <c r="M12" s="9">
        <f>M7*M10</f>
        <v>251.8229723619616</v>
      </c>
      <c r="N12" t="s">
        <v>30</v>
      </c>
    </row>
    <row r="13" spans="1:15" x14ac:dyDescent="0.25">
      <c r="A13" s="2">
        <v>0.29166666666666669</v>
      </c>
      <c r="B13" s="10">
        <v>5.45</v>
      </c>
      <c r="C13" s="10">
        <v>89.04</v>
      </c>
      <c r="D13">
        <f t="shared" si="0"/>
        <v>84.55</v>
      </c>
      <c r="E13">
        <f t="shared" si="1"/>
        <v>9.5940561066327099</v>
      </c>
      <c r="F13" s="8"/>
      <c r="G13">
        <f t="shared" si="2"/>
        <v>1.2476783196900303</v>
      </c>
      <c r="H13">
        <f t="shared" si="3"/>
        <v>0.11850082996375183</v>
      </c>
      <c r="I13">
        <f t="shared" si="4"/>
        <v>0.20794638661500506</v>
      </c>
      <c r="J13">
        <f t="shared" si="5"/>
        <v>1.9750138327291968E-2</v>
      </c>
      <c r="L13" t="s">
        <v>20</v>
      </c>
      <c r="M13" s="4">
        <f>M11/M12*100</f>
        <v>17.869696151198852</v>
      </c>
      <c r="N13" t="s">
        <v>26</v>
      </c>
    </row>
    <row r="14" spans="1:15" x14ac:dyDescent="0.25">
      <c r="A14" s="2">
        <v>0.2986111111111111</v>
      </c>
      <c r="B14" s="10">
        <v>7.61</v>
      </c>
      <c r="C14" s="10">
        <v>90.31</v>
      </c>
      <c r="D14">
        <f t="shared" si="0"/>
        <v>82.39</v>
      </c>
      <c r="E14">
        <f t="shared" si="1"/>
        <v>7.1727484931701468</v>
      </c>
      <c r="F14" s="8"/>
      <c r="G14">
        <f t="shared" si="2"/>
        <v>1.2673036770779538</v>
      </c>
      <c r="H14">
        <f t="shared" si="3"/>
        <v>0.16782825035241244</v>
      </c>
      <c r="I14">
        <f t="shared" si="4"/>
        <v>0.2112172795129923</v>
      </c>
      <c r="J14">
        <f t="shared" si="5"/>
        <v>2.7971375058735409E-2</v>
      </c>
      <c r="L14" t="s">
        <v>31</v>
      </c>
      <c r="M14" s="4">
        <f>4*10*745.7/1000</f>
        <v>29.827999999999999</v>
      </c>
      <c r="N14" t="s">
        <v>30</v>
      </c>
    </row>
    <row r="15" spans="1:15" x14ac:dyDescent="0.25">
      <c r="A15" s="2">
        <v>0.30555555555555552</v>
      </c>
      <c r="B15" s="10">
        <v>9.77</v>
      </c>
      <c r="C15" s="10">
        <v>91.58</v>
      </c>
      <c r="D15">
        <f t="shared" si="0"/>
        <v>80.23</v>
      </c>
      <c r="E15">
        <f t="shared" si="1"/>
        <v>5.708047273312598</v>
      </c>
      <c r="F15" s="8"/>
      <c r="G15">
        <f t="shared" si="2"/>
        <v>1.2837745694475924</v>
      </c>
      <c r="H15">
        <f t="shared" si="3"/>
        <v>0.21784822235190729</v>
      </c>
      <c r="I15">
        <f t="shared" si="4"/>
        <v>0.21396242824126541</v>
      </c>
      <c r="J15">
        <f t="shared" si="5"/>
        <v>3.6308037058651217E-2</v>
      </c>
      <c r="L15" t="s">
        <v>32</v>
      </c>
      <c r="M15" s="4">
        <f>M14/M11*100</f>
        <v>66.284444444444446</v>
      </c>
      <c r="N15" t="s">
        <v>26</v>
      </c>
    </row>
    <row r="16" spans="1:15" x14ac:dyDescent="0.25">
      <c r="A16" s="2">
        <v>0.3125</v>
      </c>
      <c r="B16" s="10">
        <v>11.92</v>
      </c>
      <c r="C16" s="10">
        <v>92.86</v>
      </c>
      <c r="D16">
        <f t="shared" si="0"/>
        <v>78.08</v>
      </c>
      <c r="E16">
        <f t="shared" si="1"/>
        <v>4.7391039497044174</v>
      </c>
      <c r="F16" s="8"/>
      <c r="G16">
        <f t="shared" si="2"/>
        <v>1.2975223398027185</v>
      </c>
      <c r="H16">
        <f t="shared" si="3"/>
        <v>0.26799770781620008</v>
      </c>
      <c r="I16">
        <f t="shared" si="4"/>
        <v>0.21625372330045306</v>
      </c>
      <c r="J16">
        <f t="shared" si="5"/>
        <v>4.4666284636033352E-2</v>
      </c>
    </row>
    <row r="17" spans="1:18" x14ac:dyDescent="0.25">
      <c r="A17" s="2">
        <v>0.31944444444444448</v>
      </c>
      <c r="B17" s="10">
        <v>14.07</v>
      </c>
      <c r="C17" s="10">
        <v>94.15</v>
      </c>
      <c r="D17">
        <f t="shared" si="0"/>
        <v>75.930000000000007</v>
      </c>
      <c r="E17">
        <f t="shared" si="1"/>
        <v>4.0515510599300013</v>
      </c>
      <c r="F17" s="8"/>
      <c r="G17">
        <f t="shared" si="2"/>
        <v>1.3091495837790377</v>
      </c>
      <c r="H17">
        <f t="shared" si="3"/>
        <v>0.31826363027834903</v>
      </c>
      <c r="I17">
        <f t="shared" si="4"/>
        <v>0.21819159729650625</v>
      </c>
      <c r="J17">
        <f t="shared" si="5"/>
        <v>5.3043938379724841E-2</v>
      </c>
      <c r="L17" t="s">
        <v>19</v>
      </c>
    </row>
    <row r="18" spans="1:18" x14ac:dyDescent="0.25">
      <c r="A18" s="2">
        <v>0.3263888888888889</v>
      </c>
      <c r="B18" s="10">
        <v>16.22</v>
      </c>
      <c r="C18" s="10">
        <v>95.46</v>
      </c>
      <c r="D18">
        <f t="shared" si="0"/>
        <v>73.78</v>
      </c>
      <c r="E18">
        <f t="shared" si="1"/>
        <v>3.5401895386940989</v>
      </c>
      <c r="F18" s="8"/>
      <c r="G18">
        <f t="shared" si="2"/>
        <v>1.3190849678580288</v>
      </c>
      <c r="H18">
        <f t="shared" si="3"/>
        <v>0.36845511655507285</v>
      </c>
      <c r="I18">
        <f t="shared" si="4"/>
        <v>0.21984749464300479</v>
      </c>
      <c r="J18">
        <f t="shared" si="5"/>
        <v>6.1409186092512141E-2</v>
      </c>
      <c r="L18" t="s">
        <v>21</v>
      </c>
      <c r="M18">
        <v>270</v>
      </c>
      <c r="N18" t="s">
        <v>22</v>
      </c>
    </row>
    <row r="19" spans="1:18" x14ac:dyDescent="0.25">
      <c r="A19" s="2">
        <v>0.33333333333333331</v>
      </c>
      <c r="B19" s="10">
        <v>18.37</v>
      </c>
      <c r="C19" s="10">
        <v>96.8</v>
      </c>
      <c r="D19">
        <f t="shared" si="0"/>
        <v>71.63</v>
      </c>
      <c r="E19">
        <f t="shared" si="1"/>
        <v>3.1460693836612115</v>
      </c>
      <c r="F19" s="8"/>
      <c r="G19">
        <f t="shared" si="2"/>
        <v>1.3276610429005644</v>
      </c>
      <c r="H19">
        <f t="shared" si="3"/>
        <v>0.41841524991000778</v>
      </c>
      <c r="I19">
        <f t="shared" si="4"/>
        <v>0.22127684048342738</v>
      </c>
      <c r="J19">
        <f t="shared" si="5"/>
        <v>6.9735874985001292E-2</v>
      </c>
      <c r="L19" t="s">
        <v>23</v>
      </c>
      <c r="M19">
        <v>66</v>
      </c>
      <c r="N19" t="s">
        <v>24</v>
      </c>
    </row>
    <row r="20" spans="1:18" x14ac:dyDescent="0.25">
      <c r="A20" s="2">
        <v>0.34027777777777773</v>
      </c>
      <c r="B20" s="10">
        <v>20.51</v>
      </c>
      <c r="C20" s="10">
        <v>98.16</v>
      </c>
      <c r="D20">
        <f t="shared" si="0"/>
        <v>69.489999999999995</v>
      </c>
      <c r="E20">
        <f t="shared" si="1"/>
        <v>2.8350406279256819</v>
      </c>
      <c r="F20" s="8"/>
      <c r="G20">
        <f t="shared" si="2"/>
        <v>1.3351000021714707</v>
      </c>
      <c r="H20">
        <f t="shared" si="3"/>
        <v>0.46778013068895158</v>
      </c>
      <c r="I20">
        <f t="shared" si="4"/>
        <v>0.22251666702857845</v>
      </c>
      <c r="J20">
        <f t="shared" si="5"/>
        <v>7.7963355114825272E-2</v>
      </c>
      <c r="L20" t="s">
        <v>25</v>
      </c>
      <c r="M20" s="9">
        <f>M7*M18</f>
        <v>339.96101268864817</v>
      </c>
      <c r="N20" t="s">
        <v>30</v>
      </c>
    </row>
    <row r="21" spans="1:18" x14ac:dyDescent="0.25">
      <c r="A21" s="2">
        <v>0.34722222222222227</v>
      </c>
      <c r="B21" s="10">
        <v>22.64</v>
      </c>
      <c r="C21" s="10">
        <v>99.56</v>
      </c>
      <c r="D21">
        <f t="shared" si="0"/>
        <v>67.36</v>
      </c>
      <c r="E21">
        <f t="shared" si="1"/>
        <v>2.5838578440344615</v>
      </c>
      <c r="F21" s="8"/>
      <c r="G21">
        <f t="shared" si="2"/>
        <v>1.3416091447475449</v>
      </c>
      <c r="H21">
        <f t="shared" si="3"/>
        <v>0.51643869048883362</v>
      </c>
      <c r="I21">
        <f t="shared" si="4"/>
        <v>0.22360152412459081</v>
      </c>
      <c r="J21">
        <f t="shared" si="5"/>
        <v>8.6073115081472265E-2</v>
      </c>
      <c r="L21" t="s">
        <v>20</v>
      </c>
      <c r="M21" s="4">
        <f>M19/M20*100</f>
        <v>19.413990880314802</v>
      </c>
      <c r="N21" t="s">
        <v>26</v>
      </c>
    </row>
    <row r="22" spans="1:18" x14ac:dyDescent="0.25">
      <c r="A22" s="2">
        <v>0.35416666666666669</v>
      </c>
      <c r="B22" s="10">
        <v>24.76</v>
      </c>
      <c r="C22" s="10">
        <v>100.99</v>
      </c>
      <c r="D22">
        <f t="shared" si="0"/>
        <v>65.239999999999995</v>
      </c>
      <c r="E22">
        <f t="shared" si="1"/>
        <v>2.3771713710863711</v>
      </c>
      <c r="F22" s="8"/>
      <c r="G22">
        <f t="shared" si="2"/>
        <v>1.3473482020113225</v>
      </c>
      <c r="H22">
        <f t="shared" si="3"/>
        <v>0.56429399191498553</v>
      </c>
      <c r="I22">
        <f t="shared" si="4"/>
        <v>0.22455803366855376</v>
      </c>
      <c r="J22">
        <f t="shared" si="5"/>
        <v>9.4048998652497579E-2</v>
      </c>
      <c r="L22" t="s">
        <v>31</v>
      </c>
      <c r="M22" s="4">
        <f>4*17.4*0.7457</f>
        <v>51.90072</v>
      </c>
      <c r="N22" t="s">
        <v>30</v>
      </c>
    </row>
    <row r="23" spans="1:18" x14ac:dyDescent="0.25">
      <c r="A23" s="2">
        <v>0.3611111111111111</v>
      </c>
      <c r="B23" s="10">
        <v>26.88</v>
      </c>
      <c r="C23" s="10">
        <v>102.47</v>
      </c>
      <c r="D23">
        <f t="shared" si="0"/>
        <v>63.120000000000005</v>
      </c>
      <c r="E23">
        <f t="shared" si="1"/>
        <v>2.2036988967545805</v>
      </c>
      <c r="F23" s="8"/>
      <c r="G23">
        <f t="shared" si="2"/>
        <v>1.352464671529815</v>
      </c>
      <c r="H23">
        <f t="shared" si="3"/>
        <v>0.61148090631972996</v>
      </c>
      <c r="I23">
        <f t="shared" si="4"/>
        <v>0.2254107785883025</v>
      </c>
      <c r="J23">
        <f t="shared" si="5"/>
        <v>0.10191348438662165</v>
      </c>
      <c r="L23" t="s">
        <v>32</v>
      </c>
      <c r="M23" s="4">
        <f>M22/M19*100</f>
        <v>78.637454545454545</v>
      </c>
      <c r="N23" t="s">
        <v>26</v>
      </c>
    </row>
    <row r="24" spans="1:18" x14ac:dyDescent="0.25">
      <c r="A24" s="2">
        <v>0.36805555555555558</v>
      </c>
      <c r="B24" s="10">
        <v>28.98</v>
      </c>
      <c r="C24" s="10">
        <v>103.99</v>
      </c>
      <c r="D24">
        <f t="shared" si="0"/>
        <v>61.019999999999996</v>
      </c>
      <c r="E24">
        <f t="shared" si="1"/>
        <v>2.0575966155243308</v>
      </c>
      <c r="F24" s="8"/>
      <c r="G24">
        <f t="shared" si="2"/>
        <v>1.357009185753935</v>
      </c>
      <c r="H24">
        <f t="shared" si="3"/>
        <v>0.65747677321304432</v>
      </c>
      <c r="I24">
        <f t="shared" si="4"/>
        <v>0.22616819762565582</v>
      </c>
      <c r="J24">
        <f t="shared" si="5"/>
        <v>0.10957946220217404</v>
      </c>
      <c r="L24" s="5" t="s">
        <v>33</v>
      </c>
    </row>
    <row r="25" spans="1:18" x14ac:dyDescent="0.25">
      <c r="A25" s="2">
        <v>0.375</v>
      </c>
      <c r="B25" s="10">
        <v>31.06</v>
      </c>
      <c r="C25" s="10">
        <v>105.58</v>
      </c>
      <c r="D25">
        <f t="shared" si="0"/>
        <v>58.94</v>
      </c>
      <c r="E25">
        <f t="shared" si="1"/>
        <v>1.9331139948680824</v>
      </c>
      <c r="F25" s="8"/>
      <c r="G25">
        <f t="shared" si="2"/>
        <v>1.3610675530749794</v>
      </c>
      <c r="H25">
        <f t="shared" si="3"/>
        <v>0.70222295398623158</v>
      </c>
      <c r="I25">
        <f t="shared" si="4"/>
        <v>0.22684459217916325</v>
      </c>
      <c r="J25">
        <f t="shared" si="5"/>
        <v>0.11703715899770527</v>
      </c>
      <c r="L25" t="s">
        <v>36</v>
      </c>
      <c r="M25">
        <f>17-5</f>
        <v>12</v>
      </c>
      <c r="N25" t="s">
        <v>9</v>
      </c>
      <c r="O25">
        <f>55-30</f>
        <v>25</v>
      </c>
      <c r="P25" t="s">
        <v>37</v>
      </c>
      <c r="Q25">
        <f>43-49</f>
        <v>-6</v>
      </c>
      <c r="R25" t="s">
        <v>38</v>
      </c>
    </row>
    <row r="26" spans="1:18" x14ac:dyDescent="0.25">
      <c r="A26" s="2">
        <v>0.38194444444444442</v>
      </c>
      <c r="B26" s="10">
        <v>33.130000000000003</v>
      </c>
      <c r="C26" s="10">
        <v>107.22</v>
      </c>
      <c r="D26">
        <f t="shared" si="0"/>
        <v>56.87</v>
      </c>
      <c r="E26">
        <f t="shared" si="1"/>
        <v>1.8255195193225604</v>
      </c>
      <c r="F26" s="8"/>
      <c r="G26">
        <f t="shared" si="2"/>
        <v>1.3647255978421133</v>
      </c>
      <c r="H26">
        <f t="shared" si="3"/>
        <v>0.7458778305736774</v>
      </c>
      <c r="I26">
        <f t="shared" si="4"/>
        <v>0.2274542663070189</v>
      </c>
      <c r="J26">
        <f t="shared" si="5"/>
        <v>0.12431297176227957</v>
      </c>
      <c r="L26" t="s">
        <v>40</v>
      </c>
      <c r="M26">
        <f>M25+O26</f>
        <v>12.316666666666666</v>
      </c>
      <c r="O26">
        <f>O25/60+Q26</f>
        <v>0.31666666666666665</v>
      </c>
      <c r="Q26">
        <f>Q25/60</f>
        <v>-0.1</v>
      </c>
    </row>
    <row r="27" spans="1:18" x14ac:dyDescent="0.25">
      <c r="A27" s="2">
        <v>0.3888888888888889</v>
      </c>
      <c r="B27" s="10">
        <v>35.18</v>
      </c>
      <c r="C27" s="10">
        <v>108.94</v>
      </c>
      <c r="D27">
        <f t="shared" si="0"/>
        <v>54.82</v>
      </c>
      <c r="E27">
        <f t="shared" si="1"/>
        <v>1.7322139840716233</v>
      </c>
      <c r="F27" s="8"/>
      <c r="G27">
        <f t="shared" si="2"/>
        <v>1.3680196035035606</v>
      </c>
      <c r="H27">
        <f t="shared" si="3"/>
        <v>0.78818045025278938</v>
      </c>
      <c r="I27">
        <f t="shared" si="4"/>
        <v>0.22800326725059342</v>
      </c>
      <c r="J27">
        <f t="shared" si="5"/>
        <v>0.1313634083754649</v>
      </c>
      <c r="L27" t="s">
        <v>18</v>
      </c>
    </row>
    <row r="28" spans="1:18" x14ac:dyDescent="0.25">
      <c r="A28" s="2">
        <v>0.39583333333333331</v>
      </c>
      <c r="B28" s="10">
        <v>37.21</v>
      </c>
      <c r="C28" s="10">
        <v>110.74</v>
      </c>
      <c r="D28">
        <f t="shared" si="0"/>
        <v>52.79</v>
      </c>
      <c r="E28">
        <f t="shared" si="1"/>
        <v>1.6507094490199017</v>
      </c>
      <c r="F28" s="8"/>
      <c r="G28">
        <f t="shared" si="2"/>
        <v>1.3709962273861123</v>
      </c>
      <c r="H28">
        <f t="shared" si="3"/>
        <v>0.82909368978198428</v>
      </c>
      <c r="I28">
        <f t="shared" si="4"/>
        <v>0.22849937123101871</v>
      </c>
      <c r="J28">
        <f t="shared" si="5"/>
        <v>0.13818228163033072</v>
      </c>
      <c r="L28" t="s">
        <v>35</v>
      </c>
      <c r="M28">
        <f>4*21</f>
        <v>84</v>
      </c>
      <c r="N28" t="s">
        <v>34</v>
      </c>
    </row>
    <row r="29" spans="1:18" x14ac:dyDescent="0.25">
      <c r="A29" s="2">
        <v>0.40277777777777773</v>
      </c>
      <c r="B29" s="10">
        <v>39.22</v>
      </c>
      <c r="C29" s="10">
        <v>112.63</v>
      </c>
      <c r="D29">
        <f t="shared" si="0"/>
        <v>50.78</v>
      </c>
      <c r="E29">
        <f t="shared" si="1"/>
        <v>1.5790659831179124</v>
      </c>
      <c r="F29" s="8"/>
      <c r="G29">
        <f t="shared" si="2"/>
        <v>1.3736941630049599</v>
      </c>
      <c r="H29">
        <f t="shared" si="3"/>
        <v>0.86858650443229657</v>
      </c>
      <c r="I29">
        <f t="shared" si="4"/>
        <v>0.22894902716749332</v>
      </c>
      <c r="J29">
        <f t="shared" si="5"/>
        <v>0.14476441740538276</v>
      </c>
      <c r="L29" t="s">
        <v>41</v>
      </c>
      <c r="M29" s="4">
        <f>N29+O29/60</f>
        <v>18.333333333333332</v>
      </c>
      <c r="N29">
        <v>18</v>
      </c>
      <c r="O29">
        <v>20</v>
      </c>
    </row>
    <row r="30" spans="1:18" x14ac:dyDescent="0.25">
      <c r="A30" s="2">
        <v>0.40972222222222227</v>
      </c>
      <c r="B30" s="10">
        <v>41.2</v>
      </c>
      <c r="C30" s="10">
        <v>114.62</v>
      </c>
      <c r="D30">
        <f t="shared" si="0"/>
        <v>48.8</v>
      </c>
      <c r="E30">
        <f t="shared" si="1"/>
        <v>1.5160501555439447</v>
      </c>
      <c r="F30" s="8"/>
      <c r="G30">
        <f t="shared" si="2"/>
        <v>1.3761339745113508</v>
      </c>
      <c r="H30">
        <f t="shared" si="3"/>
        <v>0.90644494472185577</v>
      </c>
      <c r="I30">
        <f t="shared" si="4"/>
        <v>0.22935566241855848</v>
      </c>
      <c r="J30">
        <f t="shared" si="5"/>
        <v>0.15107415745364261</v>
      </c>
      <c r="L30" t="s">
        <v>42</v>
      </c>
      <c r="M30" s="4">
        <v>1541</v>
      </c>
      <c r="N30" t="s">
        <v>10</v>
      </c>
    </row>
    <row r="31" spans="1:18" x14ac:dyDescent="0.25">
      <c r="A31" s="2">
        <v>0.41666666666666669</v>
      </c>
      <c r="B31" s="10">
        <v>43.14</v>
      </c>
      <c r="C31" s="10">
        <v>116.73</v>
      </c>
      <c r="D31">
        <f t="shared" si="0"/>
        <v>46.86</v>
      </c>
      <c r="E31">
        <f t="shared" si="1"/>
        <v>1.4606128234242377</v>
      </c>
      <c r="F31" s="8"/>
      <c r="G31">
        <f t="shared" si="2"/>
        <v>1.3783348710927423</v>
      </c>
      <c r="H31">
        <f t="shared" si="3"/>
        <v>0.94248244462191455</v>
      </c>
      <c r="I31">
        <f t="shared" si="4"/>
        <v>0.22972247851545707</v>
      </c>
      <c r="J31">
        <f t="shared" si="5"/>
        <v>0.15708040743698576</v>
      </c>
      <c r="L31" t="s">
        <v>43</v>
      </c>
      <c r="M31" s="4">
        <f>M30/M29</f>
        <v>84.054545454545462</v>
      </c>
    </row>
    <row r="32" spans="1:18" x14ac:dyDescent="0.25">
      <c r="A32" s="2">
        <v>0.4236111111111111</v>
      </c>
      <c r="B32" s="10">
        <v>45.05</v>
      </c>
      <c r="C32" s="10">
        <v>118.97</v>
      </c>
      <c r="D32">
        <f t="shared" si="0"/>
        <v>44.95</v>
      </c>
      <c r="E32">
        <f t="shared" si="1"/>
        <v>1.4113681309992179</v>
      </c>
      <c r="F32" s="8"/>
      <c r="G32">
        <f t="shared" si="2"/>
        <v>1.3803348433922593</v>
      </c>
      <c r="H32">
        <f t="shared" si="3"/>
        <v>0.97689551549657727</v>
      </c>
      <c r="I32">
        <f t="shared" si="4"/>
        <v>0.23005580723204322</v>
      </c>
      <c r="J32">
        <f t="shared" si="5"/>
        <v>0.16281591924942956</v>
      </c>
      <c r="L32" t="s">
        <v>46</v>
      </c>
      <c r="M32" s="9">
        <f>M10*N4</f>
        <v>1915.2916749622595</v>
      </c>
      <c r="N32" t="s">
        <v>34</v>
      </c>
    </row>
    <row r="33" spans="1:16" x14ac:dyDescent="0.25">
      <c r="A33" s="2">
        <v>0.43055555555555558</v>
      </c>
      <c r="B33" s="10">
        <v>46.91</v>
      </c>
      <c r="C33" s="10">
        <v>121.36</v>
      </c>
      <c r="D33">
        <f t="shared" si="0"/>
        <v>43.09</v>
      </c>
      <c r="E33">
        <f t="shared" si="1"/>
        <v>1.3679060263751763</v>
      </c>
      <c r="F33" s="8"/>
      <c r="G33">
        <f t="shared" si="2"/>
        <v>1.3821366838913511</v>
      </c>
      <c r="H33">
        <f t="shared" si="3"/>
        <v>1.0093488773503843</v>
      </c>
      <c r="I33">
        <f t="shared" si="4"/>
        <v>0.23035611398189187</v>
      </c>
      <c r="J33">
        <f t="shared" si="5"/>
        <v>0.16822481289173072</v>
      </c>
      <c r="L33" t="s">
        <v>44</v>
      </c>
      <c r="M33" s="9">
        <f>M32*M13/100</f>
        <v>342.25680272496288</v>
      </c>
      <c r="N33" t="s">
        <v>47</v>
      </c>
    </row>
    <row r="34" spans="1:16" x14ac:dyDescent="0.25">
      <c r="A34" s="2">
        <v>0.4375</v>
      </c>
      <c r="B34" s="10">
        <v>48.73</v>
      </c>
      <c r="C34" s="10">
        <v>123.91</v>
      </c>
      <c r="D34">
        <f t="shared" si="0"/>
        <v>41.27</v>
      </c>
      <c r="E34">
        <f t="shared" si="1"/>
        <v>1.3292013850063205</v>
      </c>
      <c r="F34" s="8"/>
      <c r="G34">
        <f t="shared" si="2"/>
        <v>1.3837714761782303</v>
      </c>
      <c r="H34">
        <f t="shared" si="3"/>
        <v>1.0400559347949019</v>
      </c>
      <c r="I34">
        <f t="shared" si="4"/>
        <v>0.23062857936303838</v>
      </c>
      <c r="J34">
        <f t="shared" si="5"/>
        <v>0.17334265579915031</v>
      </c>
      <c r="L34" t="s">
        <v>54</v>
      </c>
      <c r="M34" s="9">
        <f>M33*0.85</f>
        <v>290.91828231621844</v>
      </c>
      <c r="N34" t="s">
        <v>47</v>
      </c>
    </row>
    <row r="35" spans="1:16" x14ac:dyDescent="0.25">
      <c r="A35" s="2">
        <v>0.44444444444444442</v>
      </c>
      <c r="B35" s="10">
        <v>50.49</v>
      </c>
      <c r="C35" s="10">
        <v>126.63</v>
      </c>
      <c r="D35">
        <f t="shared" si="0"/>
        <v>39.51</v>
      </c>
      <c r="E35">
        <f t="shared" si="1"/>
        <v>1.295002955755763</v>
      </c>
      <c r="F35" s="8"/>
      <c r="G35">
        <f t="shared" si="2"/>
        <v>1.3852404959589346</v>
      </c>
      <c r="H35">
        <f t="shared" si="3"/>
        <v>1.068731819627261</v>
      </c>
      <c r="I35">
        <f t="shared" si="4"/>
        <v>0.23087341599315578</v>
      </c>
      <c r="J35">
        <f t="shared" si="5"/>
        <v>0.17812196993787682</v>
      </c>
      <c r="L35" t="s">
        <v>49</v>
      </c>
      <c r="M35" s="9">
        <f>M28+M34</f>
        <v>374.91828231621844</v>
      </c>
      <c r="N35" t="s">
        <v>34</v>
      </c>
    </row>
    <row r="36" spans="1:16" x14ac:dyDescent="0.25">
      <c r="A36" s="2">
        <v>0.4513888888888889</v>
      </c>
      <c r="B36" s="10">
        <v>52.19</v>
      </c>
      <c r="C36" s="10">
        <v>129.56</v>
      </c>
      <c r="D36">
        <f t="shared" si="0"/>
        <v>37.81</v>
      </c>
      <c r="E36">
        <f t="shared" si="1"/>
        <v>1.2647004624679035</v>
      </c>
      <c r="F36" s="8"/>
      <c r="G36">
        <f t="shared" si="2"/>
        <v>1.3865620777879082</v>
      </c>
      <c r="H36">
        <f t="shared" si="3"/>
        <v>1.0954506350902737</v>
      </c>
      <c r="I36">
        <f t="shared" si="4"/>
        <v>0.23109367963131802</v>
      </c>
      <c r="J36">
        <f t="shared" si="5"/>
        <v>0.18257510584837894</v>
      </c>
      <c r="L36" t="s">
        <v>51</v>
      </c>
      <c r="M36">
        <v>6</v>
      </c>
      <c r="N36" t="s">
        <v>30</v>
      </c>
    </row>
    <row r="37" spans="1:16" x14ac:dyDescent="0.25">
      <c r="A37" s="2">
        <v>0.45833333333333331</v>
      </c>
      <c r="B37" s="10">
        <v>53.82</v>
      </c>
      <c r="C37" s="10">
        <v>132.71</v>
      </c>
      <c r="D37">
        <f t="shared" si="0"/>
        <v>36.18</v>
      </c>
      <c r="E37">
        <f t="shared" si="1"/>
        <v>1.2379445379405152</v>
      </c>
      <c r="F37" s="8"/>
      <c r="G37">
        <f t="shared" si="2"/>
        <v>1.387745021469478</v>
      </c>
      <c r="H37">
        <f t="shared" si="3"/>
        <v>1.1201411853575176</v>
      </c>
      <c r="I37">
        <f t="shared" si="4"/>
        <v>0.23129083691157964</v>
      </c>
      <c r="J37">
        <f t="shared" si="5"/>
        <v>0.1866901975595863</v>
      </c>
      <c r="L37" t="s">
        <v>55</v>
      </c>
      <c r="M37" s="9">
        <f>M35*M15/100</f>
        <v>248.51250055395917</v>
      </c>
      <c r="N37" t="s">
        <v>48</v>
      </c>
    </row>
    <row r="38" spans="1:16" x14ac:dyDescent="0.25">
      <c r="A38" s="2">
        <v>0.46527777777777773</v>
      </c>
      <c r="B38" s="10">
        <v>55.36</v>
      </c>
      <c r="C38" s="10">
        <v>136.09</v>
      </c>
      <c r="D38">
        <f t="shared" si="0"/>
        <v>34.64</v>
      </c>
      <c r="E38">
        <f t="shared" si="1"/>
        <v>1.2145672056044001</v>
      </c>
      <c r="F38" s="8"/>
      <c r="G38">
        <f t="shared" si="2"/>
        <v>1.3887912454890921</v>
      </c>
      <c r="H38">
        <f t="shared" si="3"/>
        <v>1.1426137458028505</v>
      </c>
      <c r="I38">
        <f t="shared" si="4"/>
        <v>0.23146520758151531</v>
      </c>
      <c r="J38">
        <f t="shared" si="5"/>
        <v>0.19043562430047509</v>
      </c>
      <c r="L38" t="s">
        <v>50</v>
      </c>
      <c r="M38">
        <f>M29*M36</f>
        <v>110</v>
      </c>
    </row>
    <row r="39" spans="1:16" x14ac:dyDescent="0.25">
      <c r="A39" s="2">
        <v>0.47222222222222227</v>
      </c>
      <c r="B39" s="10">
        <v>56.81</v>
      </c>
      <c r="C39" s="10">
        <v>139.74</v>
      </c>
      <c r="D39">
        <f t="shared" si="0"/>
        <v>33.19</v>
      </c>
      <c r="E39">
        <f t="shared" si="1"/>
        <v>1.1941207431765894</v>
      </c>
      <c r="F39" s="8"/>
      <c r="G39">
        <f t="shared" si="2"/>
        <v>1.3897162194509192</v>
      </c>
      <c r="H39">
        <f t="shared" si="3"/>
        <v>1.1629977326966938</v>
      </c>
      <c r="I39">
        <f t="shared" si="4"/>
        <v>0.23161936990848656</v>
      </c>
      <c r="J39">
        <f t="shared" si="5"/>
        <v>0.19383295544944895</v>
      </c>
      <c r="L39" t="s">
        <v>53</v>
      </c>
      <c r="M39" s="4">
        <f>M37/M36</f>
        <v>41.418750092326526</v>
      </c>
      <c r="N39" t="s">
        <v>9</v>
      </c>
      <c r="O39">
        <f>0.42*60</f>
        <v>25.2</v>
      </c>
      <c r="P39" t="s">
        <v>37</v>
      </c>
    </row>
    <row r="40" spans="1:16" x14ac:dyDescent="0.25">
      <c r="A40" s="2">
        <v>0.47916666666666669</v>
      </c>
      <c r="B40" s="10">
        <v>58.15</v>
      </c>
      <c r="C40" s="10">
        <v>143.66</v>
      </c>
      <c r="D40">
        <f t="shared" si="0"/>
        <v>31.85</v>
      </c>
      <c r="E40">
        <f t="shared" si="1"/>
        <v>1.1764853274044347</v>
      </c>
      <c r="F40" s="8"/>
      <c r="G40">
        <f t="shared" si="2"/>
        <v>1.3905216221080274</v>
      </c>
      <c r="H40">
        <f t="shared" si="3"/>
        <v>1.1811542768880403</v>
      </c>
      <c r="I40">
        <f t="shared" si="4"/>
        <v>0.23175360368467121</v>
      </c>
      <c r="J40">
        <f t="shared" si="5"/>
        <v>0.19685904614800673</v>
      </c>
      <c r="L40" t="s">
        <v>52</v>
      </c>
      <c r="M40" s="4">
        <f>M28/M14</f>
        <v>2.8161459031782217</v>
      </c>
      <c r="N40" t="s">
        <v>9</v>
      </c>
      <c r="O40">
        <f>0.82*60</f>
        <v>49.199999999999996</v>
      </c>
      <c r="P40" t="s">
        <v>37</v>
      </c>
    </row>
    <row r="41" spans="1:16" x14ac:dyDescent="0.25">
      <c r="A41" s="2">
        <v>0.4861111111111111</v>
      </c>
      <c r="B41" s="10">
        <v>59.37</v>
      </c>
      <c r="C41" s="10">
        <v>147.86000000000001</v>
      </c>
      <c r="D41">
        <f t="shared" si="0"/>
        <v>30.630000000000003</v>
      </c>
      <c r="E41">
        <f t="shared" si="1"/>
        <v>1.161419508562793</v>
      </c>
      <c r="F41" s="8"/>
      <c r="G41">
        <f t="shared" si="2"/>
        <v>1.3912153532142708</v>
      </c>
      <c r="H41">
        <f t="shared" si="3"/>
        <v>1.1971065535494729</v>
      </c>
      <c r="I41">
        <f t="shared" si="4"/>
        <v>0.23186922553571182</v>
      </c>
      <c r="J41">
        <f t="shared" si="5"/>
        <v>0.19951775892491214</v>
      </c>
      <c r="L41" t="s">
        <v>56</v>
      </c>
      <c r="M41">
        <f>M36*M29/M30</f>
        <v>7.1382219338092148E-2</v>
      </c>
      <c r="N41" t="s">
        <v>57</v>
      </c>
    </row>
    <row r="42" spans="1:16" x14ac:dyDescent="0.25">
      <c r="A42" s="2">
        <v>0.49305555555555558</v>
      </c>
      <c r="B42" s="10">
        <v>60.44</v>
      </c>
      <c r="C42" s="10">
        <v>152.35</v>
      </c>
      <c r="D42">
        <f t="shared" si="0"/>
        <v>29.560000000000002</v>
      </c>
      <c r="E42">
        <f t="shared" si="1"/>
        <v>1.1489427744136591</v>
      </c>
      <c r="F42" s="8"/>
      <c r="G42">
        <f t="shared" si="2"/>
        <v>1.3917938939471064</v>
      </c>
      <c r="H42">
        <f t="shared" si="3"/>
        <v>1.210637380057149</v>
      </c>
      <c r="I42">
        <f t="shared" si="4"/>
        <v>0.23196564899118441</v>
      </c>
      <c r="J42">
        <f t="shared" si="5"/>
        <v>0.2017728966761915</v>
      </c>
      <c r="L42" s="5" t="s">
        <v>58</v>
      </c>
    </row>
    <row r="43" spans="1:16" x14ac:dyDescent="0.25">
      <c r="A43" s="2">
        <v>0.5</v>
      </c>
      <c r="B43" s="10">
        <v>61.37</v>
      </c>
      <c r="C43" s="10">
        <v>157.12</v>
      </c>
      <c r="D43">
        <f t="shared" si="0"/>
        <v>28.630000000000003</v>
      </c>
      <c r="E43">
        <f t="shared" si="1"/>
        <v>1.1386328613280698</v>
      </c>
      <c r="F43" s="8"/>
      <c r="G43">
        <f t="shared" si="2"/>
        <v>1.3922747528974742</v>
      </c>
      <c r="H43">
        <f t="shared" si="3"/>
        <v>1.2220443994310977</v>
      </c>
      <c r="I43">
        <f t="shared" si="4"/>
        <v>0.23204579214957904</v>
      </c>
      <c r="J43">
        <f t="shared" si="5"/>
        <v>0.20367406657184961</v>
      </c>
      <c r="L43" t="s">
        <v>19</v>
      </c>
    </row>
    <row r="44" spans="1:16" x14ac:dyDescent="0.25">
      <c r="A44" s="2">
        <v>0.50694444444444442</v>
      </c>
      <c r="B44" s="10">
        <v>62.12</v>
      </c>
      <c r="C44" s="10">
        <v>162.13999999999999</v>
      </c>
      <c r="D44">
        <f t="shared" si="0"/>
        <v>27.880000000000003</v>
      </c>
      <c r="E44">
        <f t="shared" si="1"/>
        <v>1.1306670033118795</v>
      </c>
      <c r="F44" s="8"/>
      <c r="G44">
        <f t="shared" si="2"/>
        <v>1.3926480346708214</v>
      </c>
      <c r="H44">
        <f t="shared" si="3"/>
        <v>1.2310018656532555</v>
      </c>
      <c r="I44">
        <f t="shared" si="4"/>
        <v>0.23210800577847024</v>
      </c>
      <c r="J44">
        <f t="shared" si="5"/>
        <v>0.20516697760887592</v>
      </c>
      <c r="L44" t="s">
        <v>59</v>
      </c>
      <c r="M44">
        <v>6</v>
      </c>
      <c r="N44" t="s">
        <v>30</v>
      </c>
    </row>
    <row r="45" spans="1:16" x14ac:dyDescent="0.25">
      <c r="A45" s="2">
        <v>0.51388888888888895</v>
      </c>
      <c r="B45" s="10">
        <v>62.69</v>
      </c>
      <c r="C45" s="10">
        <v>167.39</v>
      </c>
      <c r="D45">
        <f t="shared" si="0"/>
        <v>27.310000000000002</v>
      </c>
      <c r="E45">
        <f t="shared" si="1"/>
        <v>1.1248149496408968</v>
      </c>
      <c r="F45" s="8"/>
      <c r="G45">
        <f t="shared" si="2"/>
        <v>1.3929232443472972</v>
      </c>
      <c r="H45">
        <f t="shared" si="3"/>
        <v>1.2376640771034606</v>
      </c>
      <c r="I45">
        <f t="shared" si="4"/>
        <v>0.23215387405788288</v>
      </c>
      <c r="J45">
        <f t="shared" si="5"/>
        <v>0.20627734618391008</v>
      </c>
      <c r="L45" t="s">
        <v>60</v>
      </c>
      <c r="M45" s="9">
        <f>M18*N4*M21/100</f>
        <v>501.97664399661232</v>
      </c>
      <c r="N45" t="s">
        <v>34</v>
      </c>
    </row>
    <row r="46" spans="1:16" x14ac:dyDescent="0.25">
      <c r="A46" s="2">
        <v>0.52083333333333337</v>
      </c>
      <c r="B46" s="10">
        <v>63.06</v>
      </c>
      <c r="C46" s="10">
        <v>172.8</v>
      </c>
      <c r="D46">
        <f t="shared" si="0"/>
        <v>26.939999999999998</v>
      </c>
      <c r="E46">
        <f t="shared" si="1"/>
        <v>1.1211075840341425</v>
      </c>
      <c r="F46" s="8"/>
      <c r="G46">
        <f t="shared" si="2"/>
        <v>1.3930980267908177</v>
      </c>
      <c r="H46">
        <f t="shared" si="3"/>
        <v>1.2419210535018612</v>
      </c>
      <c r="I46">
        <f t="shared" si="4"/>
        <v>0.23218300446513629</v>
      </c>
      <c r="J46">
        <f t="shared" si="5"/>
        <v>0.20698684225031019</v>
      </c>
      <c r="L46" t="s">
        <v>61</v>
      </c>
      <c r="M46" s="9">
        <f>M45*0.85</f>
        <v>426.68014739712049</v>
      </c>
      <c r="N46" t="s">
        <v>34</v>
      </c>
      <c r="O46" t="s">
        <v>83</v>
      </c>
    </row>
    <row r="47" spans="1:16" x14ac:dyDescent="0.25">
      <c r="A47" s="2">
        <v>0.52777777777777779</v>
      </c>
      <c r="B47" s="10">
        <v>63.23</v>
      </c>
      <c r="C47" s="10">
        <v>178.32</v>
      </c>
      <c r="D47">
        <f t="shared" si="0"/>
        <v>26.770000000000003</v>
      </c>
      <c r="E47">
        <f t="shared" si="1"/>
        <v>1.1194279657843162</v>
      </c>
      <c r="F47" s="8"/>
      <c r="G47">
        <f t="shared" si="2"/>
        <v>1.3931773227942637</v>
      </c>
      <c r="H47">
        <f t="shared" si="3"/>
        <v>1.2438590502490126</v>
      </c>
      <c r="I47">
        <f t="shared" si="4"/>
        <v>0.23219622046571062</v>
      </c>
      <c r="J47">
        <f t="shared" si="5"/>
        <v>0.20730984170816877</v>
      </c>
      <c r="L47" t="s">
        <v>82</v>
      </c>
      <c r="M47" s="9">
        <f>M46*M23/100</f>
        <v>335.53040696388911</v>
      </c>
      <c r="O47" s="9">
        <f>M46-M48</f>
        <v>262.68014739712049</v>
      </c>
    </row>
    <row r="48" spans="1:16" x14ac:dyDescent="0.25">
      <c r="A48" s="2">
        <v>0.53472222222222221</v>
      </c>
      <c r="B48" s="10">
        <v>63.19</v>
      </c>
      <c r="C48" s="10">
        <v>183.86</v>
      </c>
      <c r="D48">
        <f t="shared" si="0"/>
        <v>26.810000000000002</v>
      </c>
      <c r="E48">
        <f t="shared" si="1"/>
        <v>1.1198218324097873</v>
      </c>
      <c r="F48" s="8"/>
      <c r="G48">
        <f t="shared" si="2"/>
        <v>1.3931587218393664</v>
      </c>
      <c r="H48">
        <f t="shared" si="3"/>
        <v>1.2434040672214897</v>
      </c>
      <c r="I48">
        <f t="shared" si="4"/>
        <v>0.23219312030656108</v>
      </c>
      <c r="J48">
        <f t="shared" si="5"/>
        <v>0.20723401120358162</v>
      </c>
      <c r="L48" t="s">
        <v>35</v>
      </c>
      <c r="M48">
        <f>4*41</f>
        <v>164</v>
      </c>
      <c r="N48" t="s">
        <v>34</v>
      </c>
    </row>
    <row r="49" spans="1:16" x14ac:dyDescent="0.25">
      <c r="A49" s="2">
        <v>0.54166666666666663</v>
      </c>
      <c r="B49" s="10">
        <v>62.95</v>
      </c>
      <c r="C49" s="10">
        <v>189.34</v>
      </c>
      <c r="D49">
        <f t="shared" si="0"/>
        <v>27.049999999999997</v>
      </c>
      <c r="E49">
        <f t="shared" si="1"/>
        <v>1.1222023431526433</v>
      </c>
      <c r="F49" s="8"/>
      <c r="G49">
        <f t="shared" si="2"/>
        <v>1.3930463797093797</v>
      </c>
      <c r="H49">
        <f t="shared" si="3"/>
        <v>1.2406610411349299</v>
      </c>
      <c r="I49">
        <f t="shared" si="4"/>
        <v>0.23217439661822994</v>
      </c>
      <c r="J49">
        <f t="shared" si="5"/>
        <v>0.20677684018915496</v>
      </c>
      <c r="L49" t="s">
        <v>62</v>
      </c>
      <c r="M49" s="4">
        <f>M46/M44</f>
        <v>71.113357899520082</v>
      </c>
      <c r="N49" t="s">
        <v>9</v>
      </c>
    </row>
    <row r="50" spans="1:16" x14ac:dyDescent="0.25">
      <c r="A50" s="2">
        <v>0.54861111111111105</v>
      </c>
      <c r="B50" s="10">
        <v>62.5</v>
      </c>
      <c r="C50" s="10">
        <v>194.7</v>
      </c>
      <c r="D50">
        <f t="shared" si="0"/>
        <v>27.5</v>
      </c>
      <c r="E50">
        <f t="shared" si="1"/>
        <v>1.1267465363510478</v>
      </c>
      <c r="F50" s="8"/>
      <c r="G50">
        <f t="shared" si="2"/>
        <v>1.3928323136172143</v>
      </c>
      <c r="H50">
        <f t="shared" si="3"/>
        <v>1.2354573509791553</v>
      </c>
      <c r="I50">
        <f t="shared" si="4"/>
        <v>0.23213871893620239</v>
      </c>
      <c r="J50">
        <f t="shared" si="5"/>
        <v>0.2059095584965259</v>
      </c>
      <c r="L50" t="s">
        <v>63</v>
      </c>
      <c r="M50">
        <v>40000</v>
      </c>
      <c r="N50" t="s">
        <v>10</v>
      </c>
      <c r="O50" t="s">
        <v>84</v>
      </c>
    </row>
    <row r="51" spans="1:16" x14ac:dyDescent="0.25">
      <c r="A51" s="2">
        <v>0.55555555555555558</v>
      </c>
      <c r="B51" s="10">
        <v>61.86</v>
      </c>
      <c r="C51" s="10">
        <v>199.87</v>
      </c>
      <c r="D51">
        <f t="shared" si="0"/>
        <v>28.14</v>
      </c>
      <c r="E51">
        <f t="shared" si="1"/>
        <v>1.1333939226225875</v>
      </c>
      <c r="F51" s="8"/>
      <c r="G51">
        <f t="shared" si="2"/>
        <v>1.3925200778692917</v>
      </c>
      <c r="H51">
        <f t="shared" si="3"/>
        <v>1.2279211728003676</v>
      </c>
      <c r="I51">
        <f t="shared" si="4"/>
        <v>0.23208667964488194</v>
      </c>
      <c r="J51">
        <f t="shared" si="5"/>
        <v>0.2046535288000613</v>
      </c>
      <c r="L51" t="s">
        <v>64</v>
      </c>
      <c r="M51" s="9">
        <f>M50/12</f>
        <v>3333.3333333333335</v>
      </c>
      <c r="N51" t="s">
        <v>10</v>
      </c>
      <c r="O51" s="9">
        <f>M53*M22*24</f>
        <v>2471.462857142857</v>
      </c>
    </row>
    <row r="52" spans="1:16" x14ac:dyDescent="0.25">
      <c r="A52" s="2">
        <v>0.5625</v>
      </c>
      <c r="B52" s="10">
        <v>61.05</v>
      </c>
      <c r="C52" s="10">
        <v>204.81</v>
      </c>
      <c r="D52">
        <f t="shared" si="0"/>
        <v>28.950000000000003</v>
      </c>
      <c r="E52">
        <f t="shared" si="1"/>
        <v>1.1421255722003061</v>
      </c>
      <c r="F52" s="8"/>
      <c r="G52">
        <f t="shared" si="2"/>
        <v>1.3921115662132546</v>
      </c>
      <c r="H52">
        <f t="shared" si="3"/>
        <v>1.2181567159361368</v>
      </c>
      <c r="I52">
        <f t="shared" si="4"/>
        <v>0.23201859436887579</v>
      </c>
      <c r="J52">
        <f t="shared" si="5"/>
        <v>0.20302611932268946</v>
      </c>
      <c r="L52" t="s">
        <v>43</v>
      </c>
      <c r="M52">
        <v>70</v>
      </c>
      <c r="N52" t="s">
        <v>65</v>
      </c>
    </row>
    <row r="53" spans="1:16" x14ac:dyDescent="0.25">
      <c r="A53" s="2">
        <v>0.56944444444444442</v>
      </c>
      <c r="B53" s="10">
        <v>60.07</v>
      </c>
      <c r="C53" s="10">
        <v>209.48</v>
      </c>
      <c r="D53">
        <f t="shared" si="0"/>
        <v>29.93</v>
      </c>
      <c r="E53">
        <f t="shared" si="1"/>
        <v>1.153181401697021</v>
      </c>
      <c r="F53" s="8"/>
      <c r="G53">
        <f t="shared" si="2"/>
        <v>1.3915969377848685</v>
      </c>
      <c r="H53">
        <f t="shared" si="3"/>
        <v>1.206007478508923</v>
      </c>
      <c r="I53">
        <f t="shared" si="4"/>
        <v>0.23193282296414475</v>
      </c>
      <c r="J53">
        <f t="shared" si="5"/>
        <v>0.20100124641815381</v>
      </c>
      <c r="L53" t="s">
        <v>66</v>
      </c>
      <c r="M53" s="4">
        <f>M51/M52/24</f>
        <v>1.9841269841269842</v>
      </c>
      <c r="N53" t="s">
        <v>67</v>
      </c>
      <c r="O53">
        <f>M53*24</f>
        <v>47.61904761904762</v>
      </c>
      <c r="P53">
        <f>0.61*60</f>
        <v>36.6</v>
      </c>
    </row>
    <row r="54" spans="1:16" x14ac:dyDescent="0.25">
      <c r="A54" s="2">
        <v>0.57638888888888895</v>
      </c>
      <c r="B54" s="10">
        <v>58.94</v>
      </c>
      <c r="C54" s="10">
        <v>213.86</v>
      </c>
      <c r="D54">
        <f t="shared" si="0"/>
        <v>31.060000000000002</v>
      </c>
      <c r="E54">
        <f t="shared" si="1"/>
        <v>1.1666252414091851</v>
      </c>
      <c r="F54" s="8"/>
      <c r="G54">
        <f t="shared" si="2"/>
        <v>1.3909750486303269</v>
      </c>
      <c r="H54">
        <f t="shared" si="3"/>
        <v>1.1915474564866995</v>
      </c>
      <c r="I54">
        <f t="shared" si="4"/>
        <v>0.23182917477172119</v>
      </c>
      <c r="J54">
        <f t="shared" si="5"/>
        <v>0.19859124274778323</v>
      </c>
      <c r="L54" t="s">
        <v>68</v>
      </c>
      <c r="M54" s="9">
        <f>M44*M53*24</f>
        <v>285.71428571428572</v>
      </c>
      <c r="N54" t="s">
        <v>34</v>
      </c>
      <c r="O54" t="s">
        <v>83</v>
      </c>
    </row>
    <row r="55" spans="1:16" x14ac:dyDescent="0.25">
      <c r="A55" s="2">
        <v>0.58333333333333337</v>
      </c>
      <c r="B55" s="10">
        <v>57.67</v>
      </c>
      <c r="C55" s="10">
        <v>217.96</v>
      </c>
      <c r="D55">
        <f t="shared" si="0"/>
        <v>32.33</v>
      </c>
      <c r="E55">
        <f t="shared" si="1"/>
        <v>1.1826682628116745</v>
      </c>
      <c r="F55" s="8"/>
      <c r="G55">
        <f t="shared" si="2"/>
        <v>1.3902384396066867</v>
      </c>
      <c r="H55">
        <f t="shared" si="3"/>
        <v>1.174726361432934</v>
      </c>
      <c r="I55">
        <f t="shared" si="4"/>
        <v>0.23170640660111447</v>
      </c>
      <c r="J55">
        <f t="shared" si="5"/>
        <v>0.19578772690548898</v>
      </c>
      <c r="L55" t="s">
        <v>69</v>
      </c>
      <c r="M55" s="9">
        <f>M46*M53</f>
        <v>846.58759404190573</v>
      </c>
      <c r="N55" t="s">
        <v>34</v>
      </c>
      <c r="O55" s="9">
        <f>M55-M53*M48</f>
        <v>521.19076864508031</v>
      </c>
    </row>
    <row r="56" spans="1:16" x14ac:dyDescent="0.25">
      <c r="A56" s="2">
        <v>0.59027777777777779</v>
      </c>
      <c r="B56" s="10">
        <v>56.29</v>
      </c>
      <c r="C56" s="10">
        <v>221.77</v>
      </c>
      <c r="D56">
        <f t="shared" si="0"/>
        <v>33.71</v>
      </c>
      <c r="E56">
        <f t="shared" si="1"/>
        <v>1.2012855592545637</v>
      </c>
      <c r="F56" s="8"/>
      <c r="G56">
        <f t="shared" si="2"/>
        <v>1.3893910246402963</v>
      </c>
      <c r="H56">
        <f t="shared" si="3"/>
        <v>1.1557750258849719</v>
      </c>
      <c r="I56">
        <f t="shared" si="4"/>
        <v>0.23156517077338273</v>
      </c>
      <c r="J56">
        <f t="shared" si="5"/>
        <v>0.19262917098082866</v>
      </c>
      <c r="L56" t="s">
        <v>70</v>
      </c>
      <c r="M56" s="9">
        <f>M55+M48</f>
        <v>1010.5875940419057</v>
      </c>
      <c r="N56" t="s">
        <v>34</v>
      </c>
    </row>
    <row r="57" spans="1:16" x14ac:dyDescent="0.25">
      <c r="A57" s="2">
        <v>0.59722222222222221</v>
      </c>
      <c r="B57" s="10">
        <v>54.81</v>
      </c>
      <c r="C57" s="10">
        <v>225.32</v>
      </c>
      <c r="D57">
        <f t="shared" si="0"/>
        <v>35.19</v>
      </c>
      <c r="E57">
        <f t="shared" si="1"/>
        <v>1.2227133497241569</v>
      </c>
      <c r="F57" s="8"/>
      <c r="G57">
        <f t="shared" si="2"/>
        <v>1.3884253152529265</v>
      </c>
      <c r="H57">
        <f t="shared" si="3"/>
        <v>1.1346843302955321</v>
      </c>
      <c r="I57">
        <f t="shared" si="4"/>
        <v>0.23140421920882109</v>
      </c>
      <c r="J57">
        <f t="shared" si="5"/>
        <v>0.18911405504925535</v>
      </c>
    </row>
    <row r="58" spans="1:16" x14ac:dyDescent="0.25">
      <c r="A58" s="2">
        <v>0.60416666666666663</v>
      </c>
      <c r="B58" s="10">
        <v>53.23</v>
      </c>
      <c r="C58" s="10">
        <v>228.62</v>
      </c>
      <c r="D58">
        <f t="shared" si="0"/>
        <v>36.770000000000003</v>
      </c>
      <c r="E58">
        <f t="shared" si="1"/>
        <v>1.24738157349667</v>
      </c>
      <c r="F58" s="8"/>
      <c r="G58">
        <f t="shared" si="2"/>
        <v>1.3873260424869829</v>
      </c>
      <c r="H58">
        <f t="shared" si="3"/>
        <v>1.111310463727311</v>
      </c>
      <c r="I58">
        <f t="shared" si="4"/>
        <v>0.2312210070811638</v>
      </c>
      <c r="J58">
        <f t="shared" si="5"/>
        <v>0.18521841062121852</v>
      </c>
      <c r="L58" t="s">
        <v>71</v>
      </c>
      <c r="M58" s="4">
        <f>5000/M52/24</f>
        <v>2.9761904761904763</v>
      </c>
      <c r="N58" t="s">
        <v>67</v>
      </c>
    </row>
    <row r="59" spans="1:16" x14ac:dyDescent="0.25">
      <c r="A59" s="2">
        <v>0.61111111111111105</v>
      </c>
      <c r="B59" s="10">
        <v>51.58</v>
      </c>
      <c r="C59" s="10">
        <v>231.68</v>
      </c>
      <c r="D59">
        <f t="shared" si="0"/>
        <v>38.42</v>
      </c>
      <c r="E59">
        <f t="shared" si="1"/>
        <v>1.2752809032375945</v>
      </c>
      <c r="F59" s="8"/>
      <c r="G59">
        <f t="shared" si="2"/>
        <v>1.3860984687915316</v>
      </c>
      <c r="H59">
        <f t="shared" si="3"/>
        <v>1.0859756991087957</v>
      </c>
      <c r="I59">
        <f t="shared" si="4"/>
        <v>0.23101641146525526</v>
      </c>
      <c r="J59">
        <f t="shared" si="5"/>
        <v>0.18099594985146591</v>
      </c>
      <c r="L59" t="s">
        <v>72</v>
      </c>
      <c r="M59" s="9">
        <f>M58*24*M44</f>
        <v>428.57142857142856</v>
      </c>
      <c r="N59" t="s">
        <v>34</v>
      </c>
    </row>
    <row r="60" spans="1:16" x14ac:dyDescent="0.25">
      <c r="A60" s="2">
        <v>0.61805555555555558</v>
      </c>
      <c r="B60" s="10">
        <v>49.86</v>
      </c>
      <c r="C60" s="10">
        <v>234.54</v>
      </c>
      <c r="D60">
        <f t="shared" si="0"/>
        <v>40.14</v>
      </c>
      <c r="E60">
        <f t="shared" si="1"/>
        <v>1.3068996948243217</v>
      </c>
      <c r="F60" s="8"/>
      <c r="G60">
        <f t="shared" si="2"/>
        <v>1.3847267967315084</v>
      </c>
      <c r="H60">
        <f t="shared" si="3"/>
        <v>1.0585842148999283</v>
      </c>
      <c r="I60">
        <f t="shared" si="4"/>
        <v>0.23078779945525138</v>
      </c>
      <c r="J60">
        <f t="shared" si="5"/>
        <v>0.17643070248332141</v>
      </c>
      <c r="L60" t="s">
        <v>69</v>
      </c>
      <c r="M60" s="9">
        <f>M46*M58</f>
        <v>1269.8813910628587</v>
      </c>
      <c r="O60" t="s">
        <v>86</v>
      </c>
    </row>
    <row r="61" spans="1:16" x14ac:dyDescent="0.25">
      <c r="A61" s="2">
        <v>0.625</v>
      </c>
      <c r="B61" s="10">
        <v>48.07</v>
      </c>
      <c r="C61" s="10">
        <v>237.2</v>
      </c>
      <c r="D61">
        <f t="shared" si="0"/>
        <v>41.93</v>
      </c>
      <c r="E61">
        <f t="shared" si="1"/>
        <v>1.3428261109017514</v>
      </c>
      <c r="F61" s="8"/>
      <c r="G61">
        <f t="shared" si="2"/>
        <v>1.3831926858898931</v>
      </c>
      <c r="H61">
        <f t="shared" si="3"/>
        <v>1.0290424759550565</v>
      </c>
      <c r="I61">
        <f t="shared" si="4"/>
        <v>0.23053211431498219</v>
      </c>
      <c r="J61">
        <f t="shared" si="5"/>
        <v>0.17150707932584275</v>
      </c>
      <c r="L61" t="s">
        <v>85</v>
      </c>
      <c r="M61" s="9">
        <f>(M60+M48)*M23/100</f>
        <v>1127.567827132787</v>
      </c>
      <c r="O61" s="9">
        <f>M61-M59</f>
        <v>698.99639856135843</v>
      </c>
    </row>
    <row r="62" spans="1:16" x14ac:dyDescent="0.25">
      <c r="A62" s="2">
        <v>0.63194444444444442</v>
      </c>
      <c r="B62" s="10">
        <v>46.24</v>
      </c>
      <c r="C62" s="10">
        <v>239.68</v>
      </c>
      <c r="D62">
        <f t="shared" si="0"/>
        <v>43.76</v>
      </c>
      <c r="E62">
        <f t="shared" si="1"/>
        <v>1.3830834700676673</v>
      </c>
      <c r="F62" s="8"/>
      <c r="G62">
        <f t="shared" si="2"/>
        <v>1.3815034556075534</v>
      </c>
      <c r="H62">
        <f t="shared" si="3"/>
        <v>0.99778155845929617</v>
      </c>
      <c r="I62">
        <f t="shared" si="4"/>
        <v>0.23025057593459225</v>
      </c>
      <c r="J62">
        <f t="shared" si="5"/>
        <v>0.16629692640988269</v>
      </c>
      <c r="L62" s="5" t="s">
        <v>73</v>
      </c>
    </row>
    <row r="63" spans="1:16" x14ac:dyDescent="0.25">
      <c r="A63" s="2">
        <v>0.63888888888888895</v>
      </c>
      <c r="B63" s="10">
        <v>44.36</v>
      </c>
      <c r="C63" s="10">
        <v>242.01</v>
      </c>
      <c r="D63">
        <f t="shared" si="0"/>
        <v>45.64</v>
      </c>
      <c r="E63">
        <f t="shared" si="1"/>
        <v>1.4285890942766826</v>
      </c>
      <c r="F63" s="8"/>
      <c r="G63">
        <f t="shared" si="2"/>
        <v>1.3796305166994556</v>
      </c>
      <c r="H63">
        <f t="shared" si="3"/>
        <v>0.96458850659143947</v>
      </c>
      <c r="I63">
        <f t="shared" si="4"/>
        <v>0.22993841944990925</v>
      </c>
      <c r="J63">
        <f t="shared" si="5"/>
        <v>0.16076475109857327</v>
      </c>
      <c r="L63" t="s">
        <v>74</v>
      </c>
    </row>
    <row r="64" spans="1:16" x14ac:dyDescent="0.25">
      <c r="A64" s="2">
        <v>0.64583333333333337</v>
      </c>
      <c r="B64" s="10">
        <v>42.44</v>
      </c>
      <c r="C64" s="10">
        <v>244.2</v>
      </c>
      <c r="D64">
        <f t="shared" si="0"/>
        <v>47.56</v>
      </c>
      <c r="E64">
        <f t="shared" si="1"/>
        <v>1.4799490143366665</v>
      </c>
      <c r="F64" s="8"/>
      <c r="G64">
        <f t="shared" si="2"/>
        <v>1.377561251427045</v>
      </c>
      <c r="H64">
        <f t="shared" si="3"/>
        <v>0.92960280112106475</v>
      </c>
      <c r="I64">
        <f t="shared" si="4"/>
        <v>0.22959354190450748</v>
      </c>
      <c r="J64">
        <f t="shared" si="5"/>
        <v>0.15493380018684413</v>
      </c>
      <c r="L64" t="s">
        <v>76</v>
      </c>
      <c r="M64">
        <v>50</v>
      </c>
      <c r="N64" t="s">
        <v>65</v>
      </c>
    </row>
    <row r="65" spans="1:14" x14ac:dyDescent="0.25">
      <c r="A65" s="2">
        <v>0.65277777777777779</v>
      </c>
      <c r="B65" s="10">
        <v>40.479999999999997</v>
      </c>
      <c r="C65" s="10">
        <v>246.27</v>
      </c>
      <c r="D65">
        <f t="shared" si="0"/>
        <v>49.52</v>
      </c>
      <c r="E65">
        <f t="shared" si="1"/>
        <v>1.5381650770334478</v>
      </c>
      <c r="F65" s="8"/>
      <c r="G65">
        <f t="shared" si="2"/>
        <v>1.3752703992560462</v>
      </c>
      <c r="H65">
        <f t="shared" si="3"/>
        <v>0.89280158187998349</v>
      </c>
      <c r="I65">
        <f t="shared" si="4"/>
        <v>0.22921173320934105</v>
      </c>
      <c r="J65">
        <f t="shared" si="5"/>
        <v>0.14880026364666393</v>
      </c>
      <c r="L65" t="s">
        <v>77</v>
      </c>
      <c r="M65">
        <f>2000/M64</f>
        <v>40</v>
      </c>
    </row>
    <row r="66" spans="1:14" x14ac:dyDescent="0.25">
      <c r="A66" s="2">
        <v>0.65972222222222221</v>
      </c>
      <c r="B66" s="10">
        <v>38.49</v>
      </c>
      <c r="C66" s="10">
        <v>248.23</v>
      </c>
      <c r="D66">
        <f t="shared" si="0"/>
        <v>51.51</v>
      </c>
      <c r="E66">
        <f t="shared" si="1"/>
        <v>1.6041307295683784</v>
      </c>
      <c r="F66" s="8"/>
      <c r="G66">
        <f t="shared" si="2"/>
        <v>1.3727413142333433</v>
      </c>
      <c r="H66">
        <f t="shared" si="3"/>
        <v>0.85436404345371852</v>
      </c>
      <c r="I66">
        <f t="shared" si="4"/>
        <v>0.22879021903889055</v>
      </c>
      <c r="J66">
        <f t="shared" si="5"/>
        <v>0.1423940072422864</v>
      </c>
      <c r="L66" t="s">
        <v>78</v>
      </c>
      <c r="M66">
        <f>M36/M64</f>
        <v>0.12</v>
      </c>
      <c r="N66" t="s">
        <v>57</v>
      </c>
    </row>
    <row r="67" spans="1:14" x14ac:dyDescent="0.25">
      <c r="A67" s="2">
        <v>0.66666666666666663</v>
      </c>
      <c r="B67" s="10">
        <v>36.479999999999997</v>
      </c>
      <c r="C67" s="10">
        <v>250.09</v>
      </c>
      <c r="D67">
        <f t="shared" si="0"/>
        <v>53.52</v>
      </c>
      <c r="E67">
        <f t="shared" si="1"/>
        <v>1.6788829843081787</v>
      </c>
      <c r="F67" s="8"/>
      <c r="G67">
        <f t="shared" si="2"/>
        <v>1.3699564417517982</v>
      </c>
      <c r="H67">
        <f t="shared" si="3"/>
        <v>0.8144968503948038</v>
      </c>
      <c r="I67">
        <f t="shared" si="4"/>
        <v>0.22832607362529969</v>
      </c>
      <c r="J67">
        <f t="shared" si="5"/>
        <v>0.13574947506580062</v>
      </c>
      <c r="L67" t="s">
        <v>75</v>
      </c>
      <c r="M67" s="4">
        <f>M44/M52</f>
        <v>8.5714285714285715E-2</v>
      </c>
    </row>
    <row r="68" spans="1:14" x14ac:dyDescent="0.25">
      <c r="A68" s="2">
        <v>0.67361111111111116</v>
      </c>
      <c r="B68" s="10">
        <v>34.44</v>
      </c>
      <c r="C68" s="10">
        <v>251.86</v>
      </c>
      <c r="D68">
        <f t="shared" si="0"/>
        <v>55.56</v>
      </c>
      <c r="E68">
        <f t="shared" si="1"/>
        <v>1.7645202732144338</v>
      </c>
      <c r="F68" s="8"/>
      <c r="G68">
        <f t="shared" si="2"/>
        <v>1.3668657475769403</v>
      </c>
      <c r="H68">
        <f t="shared" si="3"/>
        <v>0.77302122370104298</v>
      </c>
      <c r="I68">
        <f t="shared" si="4"/>
        <v>0.22781095792949008</v>
      </c>
      <c r="J68">
        <f t="shared" si="5"/>
        <v>0.12883687061684049</v>
      </c>
    </row>
    <row r="69" spans="1:14" x14ac:dyDescent="0.25">
      <c r="A69" s="2">
        <v>0.68055555555555547</v>
      </c>
      <c r="B69" s="10">
        <v>32.39</v>
      </c>
      <c r="C69" s="10">
        <v>253.55</v>
      </c>
      <c r="D69">
        <f t="shared" si="0"/>
        <v>57.61</v>
      </c>
      <c r="E69">
        <f t="shared" si="1"/>
        <v>1.8623093253643352</v>
      </c>
      <c r="F69" s="8"/>
      <c r="G69">
        <f t="shared" si="2"/>
        <v>1.3634584078843963</v>
      </c>
      <c r="H69">
        <f t="shared" si="3"/>
        <v>0.73037661430528478</v>
      </c>
      <c r="I69">
        <f t="shared" si="4"/>
        <v>0.22724306798073271</v>
      </c>
      <c r="J69">
        <f t="shared" si="5"/>
        <v>0.12172943571754745</v>
      </c>
    </row>
    <row r="70" spans="1:14" x14ac:dyDescent="0.25">
      <c r="A70" s="2">
        <v>0.6875</v>
      </c>
      <c r="B70" s="10">
        <v>30.31</v>
      </c>
      <c r="C70" s="10">
        <v>255.17</v>
      </c>
      <c r="D70">
        <f t="shared" si="0"/>
        <v>59.69</v>
      </c>
      <c r="E70">
        <f t="shared" si="1"/>
        <v>1.975935927879209</v>
      </c>
      <c r="F70" s="8"/>
      <c r="G70">
        <f t="shared" si="2"/>
        <v>1.3596511533457007</v>
      </c>
      <c r="H70">
        <f t="shared" si="3"/>
        <v>0.68618644229111592</v>
      </c>
      <c r="I70">
        <f t="shared" si="4"/>
        <v>0.22660852555761679</v>
      </c>
      <c r="J70">
        <f t="shared" si="5"/>
        <v>0.11436440704851931</v>
      </c>
    </row>
    <row r="71" spans="1:14" x14ac:dyDescent="0.25">
      <c r="A71" s="2">
        <v>0.69444444444444453</v>
      </c>
      <c r="B71" s="10">
        <v>28.22</v>
      </c>
      <c r="C71" s="10">
        <v>256.73</v>
      </c>
      <c r="D71">
        <f t="shared" si="0"/>
        <v>61.78</v>
      </c>
      <c r="E71">
        <f t="shared" si="1"/>
        <v>2.1078691753835721</v>
      </c>
      <c r="F71" s="8"/>
      <c r="G71">
        <f t="shared" si="2"/>
        <v>1.3554198052639248</v>
      </c>
      <c r="H71">
        <f t="shared" si="3"/>
        <v>0.64092159844409935</v>
      </c>
      <c r="I71">
        <f t="shared" si="4"/>
        <v>0.22590330087732077</v>
      </c>
      <c r="J71">
        <f t="shared" si="5"/>
        <v>0.10682026640734989</v>
      </c>
    </row>
    <row r="72" spans="1:14" x14ac:dyDescent="0.25">
      <c r="A72" s="2">
        <v>0.70138888888888884</v>
      </c>
      <c r="B72" s="10">
        <v>26.12</v>
      </c>
      <c r="C72" s="10">
        <v>258.24</v>
      </c>
      <c r="D72">
        <f t="shared" si="0"/>
        <v>63.879999999999995</v>
      </c>
      <c r="E72">
        <f t="shared" si="1"/>
        <v>2.2625648045417637</v>
      </c>
      <c r="F72" s="8"/>
      <c r="G72">
        <f t="shared" si="2"/>
        <v>1.3506958606059336</v>
      </c>
      <c r="H72">
        <f t="shared" si="3"/>
        <v>0.59464738308916232</v>
      </c>
      <c r="I72">
        <f t="shared" si="4"/>
        <v>0.22511597676765557</v>
      </c>
      <c r="J72">
        <f t="shared" si="5"/>
        <v>9.9107897181527058E-2</v>
      </c>
    </row>
    <row r="73" spans="1:14" x14ac:dyDescent="0.25">
      <c r="A73" s="2">
        <v>0.70833333333333337</v>
      </c>
      <c r="B73" s="10">
        <v>24</v>
      </c>
      <c r="C73" s="10">
        <v>259.7</v>
      </c>
      <c r="D73">
        <f t="shared" si="0"/>
        <v>66</v>
      </c>
      <c r="E73">
        <f t="shared" si="1"/>
        <v>2.4470008042366951</v>
      </c>
      <c r="F73" s="8"/>
      <c r="G73">
        <f t="shared" si="2"/>
        <v>1.3453678163437148</v>
      </c>
      <c r="H73">
        <f t="shared" si="3"/>
        <v>0.54721038932186228</v>
      </c>
      <c r="I73">
        <f t="shared" si="4"/>
        <v>0.22422796939061915</v>
      </c>
      <c r="J73">
        <f t="shared" si="5"/>
        <v>9.1201731553643722E-2</v>
      </c>
    </row>
    <row r="74" spans="1:14" x14ac:dyDescent="0.25">
      <c r="A74" s="2">
        <v>0.71527777777777779</v>
      </c>
      <c r="B74" s="10">
        <v>21.88</v>
      </c>
      <c r="C74" s="10">
        <v>261.13</v>
      </c>
      <c r="D74">
        <f t="shared" si="0"/>
        <v>68.12</v>
      </c>
      <c r="E74">
        <f t="shared" si="1"/>
        <v>2.6678364265035541</v>
      </c>
      <c r="F74" s="8"/>
      <c r="G74">
        <f t="shared" si="2"/>
        <v>1.3393789926752879</v>
      </c>
      <c r="H74">
        <f t="shared" si="3"/>
        <v>0.49913817743471939</v>
      </c>
      <c r="I74">
        <f t="shared" si="4"/>
        <v>0.22322983211254799</v>
      </c>
      <c r="J74">
        <f t="shared" si="5"/>
        <v>8.3189696239119898E-2</v>
      </c>
    </row>
    <row r="75" spans="1:14" x14ac:dyDescent="0.25">
      <c r="A75" s="2">
        <v>0.72222222222222221</v>
      </c>
      <c r="B75" s="10">
        <v>19.75</v>
      </c>
      <c r="C75" s="10">
        <v>262.51</v>
      </c>
      <c r="D75">
        <f t="shared" ref="D75:D85" si="6">90-B75</f>
        <v>70.25</v>
      </c>
      <c r="E75">
        <f t="shared" ref="E75:E83" si="7">1/(COS(PI()/180*D75)+0.50572*(96.07995-D75)^(-1.6364))</f>
        <v>2.9378146196629729</v>
      </c>
      <c r="F75" s="8"/>
      <c r="G75">
        <f t="shared" si="2"/>
        <v>1.3325702608904595</v>
      </c>
      <c r="H75">
        <f t="shared" ref="H75:H85" si="8">G75*COS(PI()/180*D75)</f>
        <v>0.45029776906894114</v>
      </c>
      <c r="I75">
        <f t="shared" si="4"/>
        <v>0.22209504348174328</v>
      </c>
      <c r="J75">
        <f t="shared" ref="J75:J85" si="9">H75*10/60</f>
        <v>7.5049628178156844E-2</v>
      </c>
    </row>
    <row r="76" spans="1:14" x14ac:dyDescent="0.25">
      <c r="A76" s="2">
        <v>0.72916666666666663</v>
      </c>
      <c r="B76" s="10">
        <v>17.61</v>
      </c>
      <c r="C76" s="10">
        <v>263.87</v>
      </c>
      <c r="D76">
        <f t="shared" si="6"/>
        <v>72.39</v>
      </c>
      <c r="E76">
        <f t="shared" si="7"/>
        <v>3.2745607721879386</v>
      </c>
      <c r="F76" s="8"/>
      <c r="G76">
        <f t="shared" ref="G76:G84" si="10">1.1*$G$1*((1-$G$2/15)*0.7^(E76^0.678)+$G$2/15)</f>
        <v>1.3247674262999858</v>
      </c>
      <c r="H76">
        <f t="shared" si="8"/>
        <v>0.40079016834730169</v>
      </c>
      <c r="I76">
        <f t="shared" ref="I76:I85" si="11">G76*10/60</f>
        <v>0.22079457104999764</v>
      </c>
      <c r="J76">
        <f t="shared" si="9"/>
        <v>6.6798361391216948E-2</v>
      </c>
    </row>
    <row r="77" spans="1:14" x14ac:dyDescent="0.25">
      <c r="A77" s="2">
        <v>0.73611111111111116</v>
      </c>
      <c r="B77" s="10">
        <v>15.46</v>
      </c>
      <c r="C77" s="10">
        <v>265.2</v>
      </c>
      <c r="D77">
        <f t="shared" si="6"/>
        <v>74.539999999999992</v>
      </c>
      <c r="E77">
        <f t="shared" si="7"/>
        <v>3.7051636769900576</v>
      </c>
      <c r="F77" s="8"/>
      <c r="G77">
        <f t="shared" si="10"/>
        <v>1.3157435365729535</v>
      </c>
      <c r="H77">
        <f t="shared" si="8"/>
        <v>0.35073192585472096</v>
      </c>
      <c r="I77">
        <f t="shared" si="11"/>
        <v>0.21929058942882559</v>
      </c>
      <c r="J77">
        <f t="shared" si="9"/>
        <v>5.8455320975786831E-2</v>
      </c>
    </row>
    <row r="78" spans="1:14" x14ac:dyDescent="0.25">
      <c r="A78" s="2">
        <v>0.74305555555555547</v>
      </c>
      <c r="B78" s="10">
        <v>13.31</v>
      </c>
      <c r="C78" s="10">
        <v>266.51</v>
      </c>
      <c r="D78">
        <f t="shared" si="6"/>
        <v>76.69</v>
      </c>
      <c r="E78">
        <f t="shared" si="7"/>
        <v>4.2703558880581065</v>
      </c>
      <c r="F78" s="8"/>
      <c r="G78">
        <f t="shared" si="10"/>
        <v>1.3052527327805856</v>
      </c>
      <c r="H78">
        <f t="shared" si="8"/>
        <v>0.30049474303359724</v>
      </c>
      <c r="I78">
        <f t="shared" si="11"/>
        <v>0.2175421221300976</v>
      </c>
      <c r="J78">
        <f t="shared" si="9"/>
        <v>5.0082457172266212E-2</v>
      </c>
    </row>
    <row r="79" spans="1:14" x14ac:dyDescent="0.25">
      <c r="A79" s="2">
        <v>0.75</v>
      </c>
      <c r="B79" s="10">
        <v>11.16</v>
      </c>
      <c r="C79" s="10">
        <v>267.8</v>
      </c>
      <c r="D79">
        <f t="shared" si="6"/>
        <v>78.84</v>
      </c>
      <c r="E79">
        <f t="shared" si="7"/>
        <v>5.0418308232776221</v>
      </c>
      <c r="F79" s="8"/>
      <c r="G79">
        <f t="shared" si="10"/>
        <v>1.2929301817435253</v>
      </c>
      <c r="H79">
        <f t="shared" si="8"/>
        <v>0.25024594890336127</v>
      </c>
      <c r="I79">
        <f t="shared" si="11"/>
        <v>0.21548836362392088</v>
      </c>
      <c r="J79">
        <f t="shared" si="9"/>
        <v>4.1707658150560212E-2</v>
      </c>
    </row>
    <row r="80" spans="1:14" x14ac:dyDescent="0.25">
      <c r="A80" s="2">
        <v>0.75694444444444453</v>
      </c>
      <c r="B80" s="10">
        <v>9.01</v>
      </c>
      <c r="C80" s="10">
        <v>269.08</v>
      </c>
      <c r="D80">
        <f t="shared" si="6"/>
        <v>80.989999999999995</v>
      </c>
      <c r="E80">
        <f t="shared" si="7"/>
        <v>6.1513888463948145</v>
      </c>
      <c r="F80" s="8"/>
      <c r="G80">
        <f t="shared" si="10"/>
        <v>1.2783117325279731</v>
      </c>
      <c r="H80">
        <f t="shared" si="8"/>
        <v>0.20019236964841416</v>
      </c>
      <c r="I80">
        <f t="shared" si="11"/>
        <v>0.21305195542132885</v>
      </c>
      <c r="J80">
        <f t="shared" si="9"/>
        <v>3.3365394941402358E-2</v>
      </c>
    </row>
    <row r="81" spans="1:10" x14ac:dyDescent="0.25">
      <c r="A81" s="2">
        <v>0.76388888888888884</v>
      </c>
      <c r="B81" s="10">
        <v>6.85</v>
      </c>
      <c r="C81" s="10">
        <v>270.35000000000002</v>
      </c>
      <c r="D81">
        <f t="shared" si="6"/>
        <v>83.15</v>
      </c>
      <c r="E81">
        <f t="shared" si="7"/>
        <v>7.87760257434031</v>
      </c>
      <c r="F81" s="8"/>
      <c r="G81">
        <f t="shared" si="10"/>
        <v>1.2607748394170832</v>
      </c>
      <c r="H81">
        <f t="shared" si="8"/>
        <v>0.15037318116676054</v>
      </c>
      <c r="I81">
        <f t="shared" si="11"/>
        <v>0.21012913990284721</v>
      </c>
      <c r="J81">
        <f t="shared" si="9"/>
        <v>2.5062196861126759E-2</v>
      </c>
    </row>
    <row r="82" spans="1:10" x14ac:dyDescent="0.25">
      <c r="A82" s="2">
        <v>0.77083333333333337</v>
      </c>
      <c r="B82" s="10">
        <v>4.7</v>
      </c>
      <c r="C82" s="10">
        <v>271.61</v>
      </c>
      <c r="D82">
        <f t="shared" si="6"/>
        <v>85.3</v>
      </c>
      <c r="E82">
        <f t="shared" si="7"/>
        <v>10.837834002978294</v>
      </c>
      <c r="F82" s="8"/>
      <c r="G82">
        <f t="shared" si="10"/>
        <v>1.240110109164001</v>
      </c>
      <c r="H82">
        <f t="shared" si="8"/>
        <v>0.10161277288193557</v>
      </c>
      <c r="I82">
        <f t="shared" si="11"/>
        <v>0.20668501819400018</v>
      </c>
      <c r="J82">
        <f t="shared" si="9"/>
        <v>1.6935462146989263E-2</v>
      </c>
    </row>
    <row r="83" spans="1:10" x14ac:dyDescent="0.25">
      <c r="A83" s="2">
        <v>0.77777777777777779</v>
      </c>
      <c r="B83" s="10">
        <v>2.54</v>
      </c>
      <c r="C83" s="10">
        <v>272.88</v>
      </c>
      <c r="D83">
        <f t="shared" si="6"/>
        <v>87.46</v>
      </c>
      <c r="E83">
        <f t="shared" si="7"/>
        <v>16.888418632577732</v>
      </c>
      <c r="F83" s="8"/>
      <c r="G83">
        <f t="shared" si="10"/>
        <v>1.2169960786855532</v>
      </c>
      <c r="H83">
        <f t="shared" si="8"/>
        <v>5.393342526185551E-2</v>
      </c>
      <c r="I83">
        <f t="shared" si="11"/>
        <v>0.20283267978092553</v>
      </c>
      <c r="J83">
        <f t="shared" si="9"/>
        <v>8.9889042103092516E-3</v>
      </c>
    </row>
    <row r="84" spans="1:10" x14ac:dyDescent="0.25">
      <c r="A84" s="2">
        <v>0.78472222222222221</v>
      </c>
      <c r="B84" s="10">
        <v>0.39</v>
      </c>
      <c r="C84" s="10">
        <v>274.14</v>
      </c>
      <c r="D84">
        <f t="shared" si="6"/>
        <v>89.61</v>
      </c>
      <c r="E84">
        <f>1/(COS(PI()/180*D84)+0.50572*(96.07995-D84)^(-1.6364))</f>
        <v>32.650624605281884</v>
      </c>
      <c r="F84" s="8"/>
      <c r="G84">
        <f t="shared" si="10"/>
        <v>1.1973627655309758</v>
      </c>
      <c r="H84">
        <f t="shared" si="8"/>
        <v>8.1501268776868283E-3</v>
      </c>
      <c r="I84">
        <f t="shared" si="11"/>
        <v>0.19956046092182927</v>
      </c>
      <c r="J84">
        <f t="shared" si="9"/>
        <v>1.3583544796144714E-3</v>
      </c>
    </row>
    <row r="85" spans="1:10" x14ac:dyDescent="0.25">
      <c r="A85" s="2">
        <v>0.78869212962962953</v>
      </c>
      <c r="B85" s="10">
        <v>-0.83299999999999996</v>
      </c>
      <c r="C85" s="10">
        <v>274.87</v>
      </c>
      <c r="D85">
        <f t="shared" si="6"/>
        <v>90.832999999999998</v>
      </c>
      <c r="E85">
        <f t="shared" ref="E85" si="12">1/(COS(PI()/180*D85)+0.50572*(96.07995-D85)^(-1.6364))</f>
        <v>52.563993328327221</v>
      </c>
      <c r="F85" s="8"/>
      <c r="G85">
        <v>0</v>
      </c>
      <c r="H85">
        <f t="shared" si="8"/>
        <v>0</v>
      </c>
      <c r="I85">
        <f t="shared" si="11"/>
        <v>0</v>
      </c>
      <c r="J85">
        <f t="shared" si="9"/>
        <v>0</v>
      </c>
    </row>
  </sheetData>
  <mergeCells count="3">
    <mergeCell ref="B1:C1"/>
    <mergeCell ref="B2:C2"/>
    <mergeCell ref="B3:C3"/>
  </mergeCells>
  <pageMargins left="0.75" right="0.75" top="1" bottom="1" header="0.5" footer="0.5"/>
  <pageSetup paperSize="9" orientation="portrait" horizontalDpi="4294967294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SunPath__30.4277547_-9.5981072_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Sun Time Table</dc:title>
  <dc:creator>Gaudy Yannick kenneth</dc:creator>
  <cp:lastModifiedBy>delll</cp:lastModifiedBy>
  <dcterms:created xsi:type="dcterms:W3CDTF">2016-03-23T10:59:21Z</dcterms:created>
  <dcterms:modified xsi:type="dcterms:W3CDTF">2021-07-02T18:55:56Z</dcterms:modified>
</cp:coreProperties>
</file>